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640" windowHeight="8835" firstSheet="13" activeTab="16"/>
  </bookViews>
  <sheets>
    <sheet name="TPS II Stage I ANNEXURE Sh 1&amp;2" sheetId="3" r:id="rId1"/>
    <sheet name="TPS II Stage I ANNEXURE sh 3" sheetId="1" r:id="rId2"/>
    <sheet name="TPS II Stage I ANNEXURE I Sh 4" sheetId="4" r:id="rId3"/>
    <sheet name="TSII STAGE II ANNEXURE I SH I" sheetId="5" r:id="rId4"/>
    <sheet name="TS II STAGE II ANNEXURE I SH 2" sheetId="6" r:id="rId5"/>
    <sheet name="TSII STAGE II ANNEXURE I SH 3" sheetId="7" r:id="rId6"/>
    <sheet name="ANNEXURE IV STAGE I" sheetId="8" r:id="rId7"/>
    <sheet name="ANNEXURE IV STAGE II" sheetId="9" r:id="rId8"/>
    <sheet name="ANNEXURE VC" sheetId="10" r:id="rId9"/>
    <sheet name="ANNEXURE VIA" sheetId="15" r:id="rId10"/>
    <sheet name="STAFF WELFARE EXPENSES" sheetId="16" r:id="rId11"/>
    <sheet name="ANNEXURE VI C STAGE I" sheetId="11" r:id="rId12"/>
    <sheet name="ANNEXURE VI C STAGE II" sheetId="12" r:id="rId13"/>
    <sheet name="ANNEXURE VI D STAGE I" sheetId="13" r:id="rId14"/>
    <sheet name="ANNEXURE VI D STAGE II" sheetId="14" r:id="rId15"/>
    <sheet name="Annexure XIX(Stg1)" sheetId="17" r:id="rId16"/>
    <sheet name="Annexure XIX (Stg2)" sheetId="18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a">#REF!</definedName>
    <definedName name="CRICUM">[1]Crit!$C$4:$C$16</definedName>
    <definedName name="CRIM">[2]CRIT!$B$5:$B$6</definedName>
    <definedName name="_xlnm.Print_Area" localSheetId="16">'Annexure XIX (Stg2)'!$A$1:$O$62</definedName>
    <definedName name="_xlnm.Print_Area" localSheetId="15">'Annexure XIX(Stg1)'!$A$1:$O$62</definedName>
    <definedName name="_xlnm.Print_Area" localSheetId="2">'TPS II Stage I ANNEXURE I Sh 4'!$A$1:$H$25</definedName>
    <definedName name="_xlnm.Print_Area" localSheetId="0">'TPS II Stage I ANNEXURE Sh 1&amp;2'!$A$1:$H$35</definedName>
    <definedName name="_xlnm.Print_Area" localSheetId="1">'TPS II Stage I ANNEXURE sh 3'!$A$1:$I$64</definedName>
    <definedName name="_xlnm.Print_Titles" localSheetId="16">'Annexure XIX (Stg2)'!$1:$9</definedName>
    <definedName name="_xlnm.Print_Titles" localSheetId="15">'Annexure XIX(Stg1)'!$1:$9</definedName>
    <definedName name="_xlnm.Print_Titles" localSheetId="1">'TPS II Stage I ANNEXURE sh 3'!$1:$2</definedName>
  </definedNames>
  <calcPr calcId="124519"/>
</workbook>
</file>

<file path=xl/calcChain.xml><?xml version="1.0" encoding="utf-8"?>
<calcChain xmlns="http://schemas.openxmlformats.org/spreadsheetml/2006/main">
  <c r="O52" i="18"/>
  <c r="N52"/>
  <c r="M52"/>
  <c r="L52"/>
  <c r="K52"/>
  <c r="J52"/>
  <c r="I52"/>
  <c r="H52"/>
  <c r="G52"/>
  <c r="F52"/>
  <c r="E52"/>
  <c r="D52"/>
  <c r="C52"/>
  <c r="O52" i="17"/>
  <c r="N52"/>
  <c r="M52"/>
  <c r="L52"/>
  <c r="K52"/>
  <c r="J52"/>
  <c r="I52"/>
  <c r="H52"/>
  <c r="G52"/>
  <c r="F52"/>
  <c r="E52"/>
  <c r="D52"/>
  <c r="C52"/>
  <c r="D24" i="16" l="1"/>
  <c r="G22"/>
  <c r="G24" s="1"/>
  <c r="E22"/>
  <c r="E24" s="1"/>
  <c r="D22"/>
  <c r="C22"/>
  <c r="C24" s="1"/>
  <c r="F18"/>
  <c r="F15"/>
  <c r="F14"/>
  <c r="F12"/>
  <c r="F11"/>
  <c r="F10"/>
  <c r="F9"/>
  <c r="F8"/>
  <c r="H78" i="15"/>
  <c r="L77"/>
  <c r="K77"/>
  <c r="K78" s="1"/>
  <c r="J77"/>
  <c r="J78" s="1"/>
  <c r="I77"/>
  <c r="I78" s="1"/>
  <c r="H77"/>
  <c r="H70"/>
  <c r="L69"/>
  <c r="K69"/>
  <c r="J69"/>
  <c r="I69"/>
  <c r="I70" s="1"/>
  <c r="H69"/>
  <c r="L62"/>
  <c r="L70" s="1"/>
  <c r="K62"/>
  <c r="K70" s="1"/>
  <c r="K71" s="1"/>
  <c r="J62"/>
  <c r="J70" s="1"/>
  <c r="J71" s="1"/>
  <c r="I62"/>
  <c r="H62"/>
  <c r="L42"/>
  <c r="K42"/>
  <c r="J42"/>
  <c r="I42"/>
  <c r="H42"/>
  <c r="F42"/>
  <c r="L40"/>
  <c r="K40"/>
  <c r="J40"/>
  <c r="I40"/>
  <c r="H40"/>
  <c r="L39"/>
  <c r="K39"/>
  <c r="J39"/>
  <c r="I39"/>
  <c r="H39"/>
  <c r="F39"/>
  <c r="F37"/>
  <c r="J35"/>
  <c r="I35"/>
  <c r="H35"/>
  <c r="F35"/>
  <c r="F34"/>
  <c r="L33"/>
  <c r="L78" s="1"/>
  <c r="F33"/>
  <c r="F32"/>
  <c r="F31"/>
  <c r="L30"/>
  <c r="L35" s="1"/>
  <c r="F30"/>
  <c r="K29"/>
  <c r="K35" s="1"/>
  <c r="F29"/>
  <c r="F28"/>
  <c r="L27"/>
  <c r="K27"/>
  <c r="J27"/>
  <c r="I27"/>
  <c r="H27"/>
  <c r="F27"/>
  <c r="F26"/>
  <c r="F25"/>
  <c r="F24"/>
  <c r="F23"/>
  <c r="F22"/>
  <c r="F21"/>
  <c r="F20"/>
  <c r="F19"/>
  <c r="F18"/>
  <c r="F17"/>
  <c r="L16"/>
  <c r="K16"/>
  <c r="J16"/>
  <c r="I16"/>
  <c r="H16"/>
  <c r="F16"/>
  <c r="L15"/>
  <c r="K15"/>
  <c r="J15"/>
  <c r="I15"/>
  <c r="H15"/>
  <c r="L13"/>
  <c r="F13"/>
  <c r="L12"/>
  <c r="K12"/>
  <c r="J12"/>
  <c r="I12"/>
  <c r="H12"/>
  <c r="F12"/>
  <c r="L11"/>
  <c r="K11"/>
  <c r="J11"/>
  <c r="I11"/>
  <c r="H11"/>
  <c r="F11"/>
  <c r="F22" i="16" l="1"/>
  <c r="F24" s="1"/>
  <c r="I71" i="15"/>
  <c r="I41"/>
  <c r="I43" s="1"/>
  <c r="I59" s="1"/>
  <c r="H41"/>
  <c r="H43" s="1"/>
  <c r="H59" s="1"/>
  <c r="K41"/>
  <c r="K43" s="1"/>
  <c r="K59" s="1"/>
  <c r="J41"/>
  <c r="J43" s="1"/>
  <c r="J59" s="1"/>
  <c r="H71"/>
  <c r="L71"/>
  <c r="L41"/>
  <c r="L43" s="1"/>
  <c r="L59" s="1"/>
  <c r="H16" i="14" l="1"/>
  <c r="G16"/>
  <c r="F16"/>
  <c r="E16"/>
  <c r="D16"/>
  <c r="E16" i="13" l="1"/>
  <c r="D16"/>
  <c r="H13"/>
  <c r="G13"/>
  <c r="F13"/>
  <c r="H11"/>
  <c r="G11"/>
  <c r="F11"/>
  <c r="F16" s="1"/>
  <c r="H9"/>
  <c r="H16" s="1"/>
  <c r="G9"/>
  <c r="G16" s="1"/>
  <c r="F9"/>
  <c r="I20" i="12"/>
  <c r="H20"/>
  <c r="G20"/>
  <c r="F20"/>
  <c r="E20"/>
  <c r="I19"/>
  <c r="I21" s="1"/>
  <c r="H19"/>
  <c r="H21" s="1"/>
  <c r="G19"/>
  <c r="G21" s="1"/>
  <c r="F19"/>
  <c r="F21" s="1"/>
  <c r="E19"/>
  <c r="E21" s="1"/>
  <c r="I18"/>
  <c r="H18"/>
  <c r="G18"/>
  <c r="F18"/>
  <c r="E18"/>
  <c r="I17"/>
  <c r="H17"/>
  <c r="G17"/>
  <c r="F17"/>
  <c r="E17"/>
  <c r="I21" i="11"/>
  <c r="H21"/>
  <c r="G21"/>
  <c r="F21"/>
  <c r="E21"/>
  <c r="E16" i="10"/>
  <c r="D16"/>
  <c r="C16"/>
  <c r="B16"/>
  <c r="E15"/>
  <c r="D15"/>
  <c r="C15"/>
  <c r="B15"/>
  <c r="E14"/>
  <c r="D14"/>
  <c r="C14"/>
  <c r="B14"/>
  <c r="M13"/>
  <c r="L13" s="1"/>
  <c r="K13" s="1"/>
  <c r="J13"/>
  <c r="H13"/>
  <c r="F13"/>
  <c r="E13"/>
  <c r="D13"/>
  <c r="C13"/>
  <c r="B13"/>
  <c r="M12"/>
  <c r="L12" s="1"/>
  <c r="K12" s="1"/>
  <c r="J12"/>
  <c r="H12"/>
  <c r="F12"/>
  <c r="E12"/>
  <c r="D12"/>
  <c r="C12"/>
  <c r="B12"/>
  <c r="M11"/>
  <c r="L11" s="1"/>
  <c r="K11" s="1"/>
  <c r="J11"/>
  <c r="H11"/>
  <c r="F11"/>
  <c r="D11"/>
  <c r="C11"/>
  <c r="B11"/>
  <c r="M10"/>
  <c r="L10" s="1"/>
  <c r="K10" s="1"/>
  <c r="J10"/>
  <c r="H10"/>
  <c r="F10"/>
  <c r="D10"/>
  <c r="C10"/>
  <c r="B10"/>
  <c r="M9"/>
  <c r="L9" s="1"/>
  <c r="K9" s="1"/>
  <c r="J9"/>
  <c r="H9"/>
  <c r="F9"/>
  <c r="D9"/>
  <c r="C9"/>
  <c r="B9"/>
  <c r="H22" i="5" l="1"/>
  <c r="G22"/>
  <c r="F22"/>
  <c r="E22"/>
  <c r="D22"/>
  <c r="H21" i="7"/>
  <c r="G21"/>
  <c r="F21"/>
  <c r="E21"/>
  <c r="D21"/>
  <c r="H22" i="3" l="1"/>
  <c r="G22"/>
  <c r="F22"/>
  <c r="E22"/>
  <c r="D22"/>
  <c r="H21" i="4" l="1"/>
  <c r="G21"/>
  <c r="F21"/>
  <c r="E21"/>
  <c r="D21"/>
</calcChain>
</file>

<file path=xl/sharedStrings.xml><?xml version="1.0" encoding="utf-8"?>
<sst xmlns="http://schemas.openxmlformats.org/spreadsheetml/2006/main" count="1386" uniqueCount="583">
  <si>
    <t>Pro-forma   for   furnishing   Actual   annual   performance/operational   data   for   the coal/lignite based thermal generating stations for the 5-year period from 2012-13 to 2016-17</t>
  </si>
  <si>
    <t>Lignite</t>
  </si>
  <si>
    <t>Electrical Driven</t>
  </si>
  <si>
    <t>NA</t>
  </si>
  <si>
    <t>Mode of Transport (Rail/Road/Sea/Conveyor/MGR/Ropeway)</t>
  </si>
  <si>
    <t>Conveyor</t>
  </si>
  <si>
    <t>Furnance Oil &amp; Light Diesel Oil</t>
  </si>
  <si>
    <t>MT</t>
  </si>
  <si>
    <t>----</t>
  </si>
  <si>
    <t>---</t>
  </si>
  <si>
    <t>Domestic coal (Lignite)</t>
  </si>
  <si>
    <t>Actual Average Coal (Lignite) stock maintained</t>
  </si>
  <si>
    <t>Light Diesel Oil (LDO)</t>
  </si>
  <si>
    <t>Heavy Furnace Oil (HFO)</t>
  </si>
  <si>
    <t>KL</t>
  </si>
  <si>
    <t>15.4.1</t>
  </si>
  <si>
    <t>15.4.2</t>
  </si>
  <si>
    <t>150 mg/Nm3</t>
  </si>
  <si>
    <t>Nox</t>
  </si>
  <si>
    <t>Sox</t>
  </si>
  <si>
    <t>Other Prticulate emission</t>
  </si>
  <si>
    <t>Imported Coal</t>
  </si>
  <si>
    <t>Maximum stock maintained for primary fuel</t>
  </si>
  <si>
    <t>Accts</t>
  </si>
  <si>
    <t>15.3.1</t>
  </si>
  <si>
    <t>15.3.2</t>
  </si>
  <si>
    <t>Average for each year</t>
  </si>
  <si>
    <t>#</t>
  </si>
  <si>
    <t>Cost    of    spares    actually consumed includes the cost of consumables also.</t>
  </si>
  <si>
    <t>Remarks</t>
  </si>
  <si>
    <t>AAP Target 3784 MU
Lig req @1.44 T/Kwhr for 2012-13 &amp; 13-14 and 1.46 T/Kwhr for 2015-16 to 2016-17</t>
  </si>
  <si>
    <t>Max, Min &amp; Avg for sp year for 2013-14 to 2015-16 and includes stockyard for 2016-17</t>
  </si>
  <si>
    <t>3.5 ml/kwhr for 2012-13 &amp; 2013-14 and 1.5 ml/kwhr for 2014-15 onwards for the AAP target of 3784 MU.</t>
  </si>
  <si>
    <t>Max, Min &amp; Avg for speific year</t>
  </si>
  <si>
    <t>Hot start&lt;10 hrs
Warm Start-10 to 72 hrs
Cold start&gt;72 hrs</t>
  </si>
  <si>
    <t>mg/Nm3</t>
  </si>
  <si>
    <t>2015-16</t>
  </si>
  <si>
    <t>2016-17</t>
  </si>
  <si>
    <r>
      <rPr>
        <b/>
        <u/>
        <sz val="11"/>
        <rFont val="Times New Roman"/>
        <family val="1"/>
      </rPr>
      <t>Annexure –I</t>
    </r>
  </si>
  <si>
    <r>
      <rPr>
        <b/>
        <sz val="11"/>
        <rFont val="Times New Roman"/>
        <family val="1"/>
      </rPr>
      <t>Particulars</t>
    </r>
  </si>
  <si>
    <r>
      <rPr>
        <b/>
        <sz val="11"/>
        <rFont val="Times New Roman"/>
        <family val="1"/>
      </rPr>
      <t>Units</t>
    </r>
  </si>
  <si>
    <r>
      <rPr>
        <b/>
        <sz val="11"/>
        <rFont val="Times New Roman"/>
        <family val="1"/>
      </rPr>
      <t>2012-13</t>
    </r>
  </si>
  <si>
    <r>
      <rPr>
        <b/>
        <sz val="11"/>
        <rFont val="Times New Roman"/>
        <family val="1"/>
      </rPr>
      <t>2013-14</t>
    </r>
  </si>
  <si>
    <r>
      <rPr>
        <b/>
        <sz val="11"/>
        <rFont val="Times New Roman"/>
        <family val="1"/>
      </rPr>
      <t>2014-15</t>
    </r>
  </si>
  <si>
    <r>
      <rPr>
        <b/>
        <sz val="11"/>
        <rFont val="Times New Roman"/>
        <family val="1"/>
      </rPr>
      <t>2015-16</t>
    </r>
  </si>
  <si>
    <r>
      <rPr>
        <b/>
        <sz val="11"/>
        <rFont val="Times New Roman"/>
        <family val="1"/>
      </rPr>
      <t>2016-17</t>
    </r>
  </si>
  <si>
    <r>
      <rPr>
        <sz val="11"/>
        <rFont val="Times New Roman"/>
        <family val="1"/>
      </rPr>
      <t>Name of Company</t>
    </r>
  </si>
  <si>
    <r>
      <rPr>
        <sz val="11"/>
        <rFont val="Times New Roman"/>
        <family val="1"/>
      </rPr>
      <t>Installed Capacity and Configuration</t>
    </r>
  </si>
  <si>
    <r>
      <rPr>
        <sz val="11"/>
        <rFont val="Times New Roman"/>
        <family val="1"/>
      </rPr>
      <t>MW</t>
    </r>
  </si>
  <si>
    <r>
      <rPr>
        <sz val="11"/>
        <rFont val="Times New Roman"/>
        <family val="1"/>
      </rPr>
      <t>Rated    Steam    Parameters (Also state the type of Steam turbine and Boiler)</t>
    </r>
  </si>
  <si>
    <r>
      <rPr>
        <sz val="11"/>
        <rFont val="Times New Roman"/>
        <family val="1"/>
      </rPr>
      <t>Type of BFP</t>
    </r>
  </si>
  <si>
    <r>
      <rPr>
        <sz val="11"/>
        <rFont val="Times New Roman"/>
        <family val="1"/>
      </rPr>
      <t>Circulating water system</t>
    </r>
  </si>
  <si>
    <r>
      <rPr>
        <sz val="11"/>
        <rFont val="Times New Roman"/>
        <family val="1"/>
      </rPr>
      <t>Any other Site specific feature</t>
    </r>
  </si>
  <si>
    <r>
      <rPr>
        <b/>
        <sz val="11"/>
        <rFont val="Times New Roman"/>
        <family val="1"/>
      </rPr>
      <t>Fuels :</t>
    </r>
  </si>
  <si>
    <r>
      <rPr>
        <b/>
        <sz val="11"/>
        <rFont val="Times New Roman"/>
        <family val="1"/>
      </rPr>
      <t>Primary Fuel :</t>
    </r>
  </si>
  <si>
    <r>
      <rPr>
        <sz val="11"/>
        <rFont val="Times New Roman"/>
        <family val="1"/>
      </rPr>
      <t>8.1.1</t>
    </r>
  </si>
  <si>
    <r>
      <rPr>
        <sz val="11"/>
        <rFont val="Times New Roman"/>
        <family val="1"/>
      </rPr>
      <t>MT</t>
    </r>
  </si>
  <si>
    <r>
      <rPr>
        <sz val="11"/>
        <rFont val="Times New Roman"/>
        <family val="1"/>
      </rPr>
      <t>8.1.2</t>
    </r>
  </si>
  <si>
    <r>
      <rPr>
        <sz val="11"/>
        <rFont val="Times New Roman"/>
        <family val="1"/>
      </rPr>
      <t>8.1.3</t>
    </r>
  </si>
  <si>
    <r>
      <rPr>
        <sz val="11"/>
        <rFont val="Times New Roman"/>
        <family val="1"/>
      </rPr>
      <t>km</t>
    </r>
  </si>
  <si>
    <r>
      <rPr>
        <sz val="11"/>
        <rFont val="Times New Roman"/>
        <family val="1"/>
      </rPr>
      <t>8.1.4</t>
    </r>
  </si>
  <si>
    <r>
      <rPr>
        <sz val="11"/>
        <rFont val="Times New Roman"/>
        <family val="1"/>
      </rPr>
      <t>8.1.5</t>
    </r>
  </si>
  <si>
    <r>
      <rPr>
        <sz val="11"/>
        <rFont val="Times New Roman"/>
        <family val="1"/>
      </rPr>
      <t>Maximum Station capability to stock primary fuel</t>
    </r>
  </si>
  <si>
    <r>
      <rPr>
        <sz val="11"/>
        <rFont val="Times New Roman"/>
        <family val="1"/>
      </rPr>
      <t>8.1.6</t>
    </r>
  </si>
  <si>
    <r>
      <rPr>
        <sz val="11"/>
        <rFont val="Times New Roman"/>
        <family val="1"/>
      </rPr>
      <t>8.1.7</t>
    </r>
  </si>
  <si>
    <r>
      <rPr>
        <sz val="11"/>
        <rFont val="Times New Roman"/>
        <family val="1"/>
      </rPr>
      <t>Minimum Stock maintained for primary fuel</t>
    </r>
  </si>
  <si>
    <r>
      <rPr>
        <sz val="11"/>
        <rFont val="Times New Roman"/>
        <family val="1"/>
      </rPr>
      <t>8.1.8</t>
    </r>
  </si>
  <si>
    <r>
      <rPr>
        <sz val="11"/>
        <rFont val="Times New Roman"/>
        <family val="1"/>
      </rPr>
      <t>Average stock maintained for primary fuel</t>
    </r>
  </si>
  <si>
    <r>
      <rPr>
        <b/>
        <sz val="11"/>
        <rFont val="Times New Roman"/>
        <family val="1"/>
      </rPr>
      <t>Secondary Fuel :</t>
    </r>
  </si>
  <si>
    <r>
      <rPr>
        <sz val="11"/>
        <rFont val="Times New Roman"/>
        <family val="1"/>
      </rPr>
      <t>8.2.1</t>
    </r>
  </si>
  <si>
    <r>
      <rPr>
        <sz val="11"/>
        <rFont val="Times New Roman"/>
        <family val="1"/>
      </rPr>
      <t>8.2.2</t>
    </r>
  </si>
  <si>
    <r>
      <rPr>
        <sz val="11"/>
        <rFont val="Times New Roman"/>
        <family val="1"/>
      </rPr>
      <t>Sources of supply</t>
    </r>
  </si>
  <si>
    <r>
      <rPr>
        <sz val="11"/>
        <rFont val="Times New Roman"/>
        <family val="1"/>
      </rPr>
      <t>8.2.3</t>
    </r>
  </si>
  <si>
    <r>
      <rPr>
        <sz val="11"/>
        <rFont val="Times New Roman"/>
        <family val="1"/>
      </rPr>
      <t>8.2.4</t>
    </r>
  </si>
  <si>
    <r>
      <rPr>
        <sz val="11"/>
        <rFont val="Times New Roman"/>
        <family val="1"/>
      </rPr>
      <t>8.2.5</t>
    </r>
  </si>
  <si>
    <r>
      <rPr>
        <sz val="11"/>
        <rFont val="Times New Roman"/>
        <family val="1"/>
      </rPr>
      <t>Maximum Station capability to stock
secondary fuels</t>
    </r>
  </si>
  <si>
    <r>
      <rPr>
        <sz val="11"/>
        <rFont val="Times New Roman"/>
        <family val="1"/>
      </rPr>
      <t>Klit.</t>
    </r>
  </si>
  <si>
    <r>
      <rPr>
        <sz val="11"/>
        <rFont val="Times New Roman"/>
        <family val="1"/>
      </rPr>
      <t>8.2.6</t>
    </r>
  </si>
  <si>
    <r>
      <rPr>
        <sz val="11"/>
        <rFont val="Times New Roman"/>
        <family val="1"/>
      </rPr>
      <t>Maximum Stock of secondary oil actually maintained</t>
    </r>
  </si>
  <si>
    <r>
      <rPr>
        <sz val="11"/>
        <rFont val="Times New Roman"/>
        <family val="1"/>
      </rPr>
      <t>K.lit.</t>
    </r>
  </si>
  <si>
    <r>
      <rPr>
        <sz val="11"/>
        <rFont val="Times New Roman"/>
        <family val="1"/>
      </rPr>
      <t>8.2.7</t>
    </r>
  </si>
  <si>
    <r>
      <rPr>
        <sz val="11"/>
        <rFont val="Times New Roman"/>
        <family val="1"/>
      </rPr>
      <t>Minimum Stock of secondary oil actually maintained</t>
    </r>
  </si>
  <si>
    <r>
      <rPr>
        <sz val="11"/>
        <rFont val="Times New Roman"/>
        <family val="1"/>
      </rPr>
      <t>8.2.8</t>
    </r>
  </si>
  <si>
    <r>
      <rPr>
        <sz val="11"/>
        <rFont val="Times New Roman"/>
        <family val="1"/>
      </rPr>
      <t>Average Stock of secondary oil actually maintained</t>
    </r>
  </si>
  <si>
    <r>
      <rPr>
        <sz val="11"/>
        <rFont val="Times New Roman"/>
        <family val="1"/>
      </rPr>
      <t>Cost of Spares :</t>
    </r>
  </si>
  <si>
    <r>
      <rPr>
        <sz val="11"/>
        <rFont val="Times New Roman"/>
        <family val="1"/>
      </rPr>
      <t>Cost of Spares capitalized in the books of accounts</t>
    </r>
  </si>
  <si>
    <r>
      <rPr>
        <sz val="11"/>
        <rFont val="Times New Roman"/>
        <family val="1"/>
      </rPr>
      <t>(Rs. Lakh)</t>
    </r>
  </si>
  <si>
    <r>
      <rPr>
        <sz val="11"/>
        <rFont val="Times New Roman"/>
        <family val="1"/>
      </rPr>
      <t>Cost of  spares included in capital cost for the purpose of tariff</t>
    </r>
  </si>
  <si>
    <r>
      <rPr>
        <b/>
        <sz val="11"/>
        <rFont val="Times New Roman"/>
        <family val="1"/>
      </rPr>
      <t>Generation :</t>
    </r>
  </si>
  <si>
    <r>
      <rPr>
        <sz val="11"/>
        <rFont val="Times New Roman"/>
        <family val="1"/>
      </rPr>
      <t>-Actual  Gross  Generation  at generator terminals</t>
    </r>
  </si>
  <si>
    <r>
      <rPr>
        <sz val="11"/>
        <rFont val="Times New Roman"/>
        <family val="1"/>
      </rPr>
      <t>MU</t>
    </r>
  </si>
  <si>
    <r>
      <rPr>
        <sz val="11"/>
        <rFont val="Times New Roman"/>
        <family val="1"/>
      </rPr>
      <t>-Actual Net Generation Ex-bus</t>
    </r>
  </si>
  <si>
    <r>
      <rPr>
        <sz val="11"/>
        <rFont val="Times New Roman"/>
        <family val="1"/>
      </rPr>
      <t>-Scheduled Generation Ex-bus</t>
    </r>
  </si>
  <si>
    <r>
      <rPr>
        <sz val="11"/>
        <rFont val="Times New Roman"/>
        <family val="1"/>
      </rPr>
      <t>Average Declared Capacity (DC)</t>
    </r>
  </si>
  <si>
    <r>
      <rPr>
        <sz val="11"/>
        <rFont val="Times New Roman"/>
        <family val="1"/>
      </rPr>
      <t>Actual Auxiliary Energy Consumption excluding colony consumption</t>
    </r>
  </si>
  <si>
    <r>
      <rPr>
        <sz val="11"/>
        <rFont val="Times New Roman"/>
        <family val="1"/>
      </rPr>
      <t xml:space="preserve">Consumption </t>
    </r>
    <r>
      <rPr>
        <b/>
        <sz val="11"/>
        <rFont val="Times New Roman"/>
        <family val="1"/>
      </rPr>
      <t>:</t>
    </r>
  </si>
  <si>
    <r>
      <rPr>
        <sz val="11"/>
        <rFont val="Times New Roman"/>
        <family val="1"/>
      </rPr>
      <t>From linked mines</t>
    </r>
  </si>
  <si>
    <r>
      <rPr>
        <sz val="11"/>
        <rFont val="Times New Roman"/>
        <family val="1"/>
      </rPr>
      <t>Non-linked mines</t>
    </r>
  </si>
  <si>
    <r>
      <rPr>
        <sz val="11"/>
        <rFont val="Times New Roman"/>
        <family val="1"/>
      </rPr>
      <t>Imported coal</t>
    </r>
    <r>
      <rPr>
        <b/>
        <sz val="11"/>
        <rFont val="Times New Roman"/>
        <family val="1"/>
      </rPr>
      <t>*</t>
    </r>
  </si>
  <si>
    <r>
      <rPr>
        <sz val="11"/>
        <rFont val="Times New Roman"/>
        <family val="1"/>
      </rPr>
      <t>Spot market/e-auction coal</t>
    </r>
    <r>
      <rPr>
        <b/>
        <sz val="11"/>
        <rFont val="Times New Roman"/>
        <family val="1"/>
      </rPr>
      <t>*</t>
    </r>
  </si>
  <si>
    <r>
      <rPr>
        <b/>
        <sz val="11"/>
        <rFont val="Times New Roman"/>
        <family val="1"/>
      </rPr>
      <t>Gross Calorific Value (GCV) :</t>
    </r>
  </si>
  <si>
    <r>
      <rPr>
        <b/>
        <sz val="11"/>
        <rFont val="Times New Roman"/>
        <family val="1"/>
      </rPr>
      <t>(As Billed)</t>
    </r>
  </si>
  <si>
    <r>
      <rPr>
        <sz val="11"/>
        <rFont val="Times New Roman"/>
        <family val="1"/>
      </rPr>
      <t>kCal/kg</t>
    </r>
  </si>
  <si>
    <r>
      <rPr>
        <b/>
        <sz val="11"/>
        <rFont val="Times New Roman"/>
        <family val="1"/>
      </rPr>
      <t>(As Received)</t>
    </r>
  </si>
  <si>
    <r>
      <rPr>
        <b/>
        <sz val="11"/>
        <rFont val="Times New Roman"/>
        <family val="1"/>
      </rPr>
      <t>( As Fired )</t>
    </r>
  </si>
  <si>
    <r>
      <rPr>
        <b/>
        <sz val="11"/>
        <rFont val="Times New Roman"/>
        <family val="1"/>
      </rPr>
      <t>Price of coal :</t>
    </r>
  </si>
  <si>
    <r>
      <rPr>
        <b/>
        <sz val="11"/>
        <rFont val="Times New Roman"/>
        <family val="1"/>
      </rPr>
      <t>Blending :</t>
    </r>
  </si>
  <si>
    <r>
      <rPr>
        <sz val="11"/>
        <rFont val="Times New Roman"/>
        <family val="1"/>
      </rPr>
      <t>Blending ratio of imported coal with domestic coal</t>
    </r>
  </si>
  <si>
    <r>
      <rPr>
        <sz val="11"/>
        <rFont val="Times New Roman"/>
        <family val="1"/>
      </rPr>
      <t>Proportion of e-auction coal in the blending</t>
    </r>
  </si>
  <si>
    <r>
      <rPr>
        <b/>
        <sz val="11"/>
        <rFont val="Times New Roman"/>
        <family val="1"/>
      </rPr>
      <t>Actual Transit &amp; Handling Losses for coal/Lignite</t>
    </r>
  </si>
  <si>
    <r>
      <rPr>
        <sz val="11"/>
        <rFont val="Times New Roman"/>
        <family val="1"/>
      </rPr>
      <t>(%)</t>
    </r>
  </si>
  <si>
    <r>
      <rPr>
        <b/>
        <sz val="11"/>
        <rFont val="Times New Roman"/>
        <family val="1"/>
      </rPr>
      <t>Pit- Head Station</t>
    </r>
  </si>
  <si>
    <r>
      <rPr>
        <sz val="11"/>
        <rFont val="Times New Roman"/>
        <family val="1"/>
      </rPr>
      <t>14.5.1.1</t>
    </r>
  </si>
  <si>
    <r>
      <rPr>
        <sz val="11"/>
        <rFont val="Times New Roman"/>
        <family val="1"/>
      </rPr>
      <t>Transit loss from linked mines</t>
    </r>
  </si>
  <si>
    <r>
      <rPr>
        <sz val="11"/>
        <rFont val="Times New Roman"/>
        <family val="1"/>
      </rPr>
      <t>14.5.1.2</t>
    </r>
  </si>
  <si>
    <r>
      <rPr>
        <sz val="11"/>
        <rFont val="Times New Roman"/>
        <family val="1"/>
      </rPr>
      <t>14.5.1.3</t>
    </r>
  </si>
  <si>
    <r>
      <rPr>
        <sz val="11"/>
        <rFont val="Times New Roman"/>
        <family val="1"/>
      </rPr>
      <t>Transit loss of imported coal</t>
    </r>
  </si>
  <si>
    <r>
      <rPr>
        <b/>
        <sz val="11"/>
        <rFont val="Times New Roman"/>
        <family val="1"/>
      </rPr>
      <t>Non-Pit Head station</t>
    </r>
  </si>
  <si>
    <r>
      <rPr>
        <sz val="11"/>
        <rFont val="Times New Roman"/>
        <family val="1"/>
      </rPr>
      <t>14.5.2.1</t>
    </r>
  </si>
  <si>
    <r>
      <rPr>
        <sz val="11"/>
        <rFont val="Times New Roman"/>
        <family val="1"/>
      </rPr>
      <t>14.5.2.2</t>
    </r>
  </si>
  <si>
    <r>
      <rPr>
        <sz val="11"/>
        <rFont val="Times New Roman"/>
        <family val="1"/>
      </rPr>
      <t>14.5.2.3</t>
    </r>
  </si>
  <si>
    <r>
      <rPr>
        <b/>
        <sz val="11"/>
        <rFont val="Times New Roman"/>
        <family val="1"/>
      </rPr>
      <t xml:space="preserve">Secondary Fuel Oil :
</t>
    </r>
    <r>
      <rPr>
        <sz val="11"/>
        <rFont val="Times New Roman"/>
        <family val="1"/>
      </rPr>
      <t>( If more than one fuel used then give details of all the fuels separately)</t>
    </r>
  </si>
  <si>
    <r>
      <rPr>
        <sz val="11"/>
        <rFont val="Times New Roman"/>
        <family val="1"/>
      </rPr>
      <t>Consumption</t>
    </r>
  </si>
  <si>
    <r>
      <rPr>
        <sz val="11"/>
        <rFont val="Times New Roman"/>
        <family val="1"/>
      </rPr>
      <t>Weighted Average Price</t>
    </r>
  </si>
  <si>
    <r>
      <rPr>
        <sz val="11"/>
        <rFont val="Times New Roman"/>
        <family val="1"/>
      </rPr>
      <t>Actual Average stock maintained</t>
    </r>
  </si>
  <si>
    <r>
      <rPr>
        <b/>
        <sz val="11"/>
        <rFont val="Times New Roman"/>
        <family val="1"/>
      </rPr>
      <t>Weighted  average  duration  of outages( unit-wise details)</t>
    </r>
    <r>
      <rPr>
        <sz val="11"/>
        <rFont val="Times New Roman"/>
        <family val="1"/>
      </rPr>
      <t>:</t>
    </r>
  </si>
  <si>
    <r>
      <rPr>
        <sz val="11"/>
        <rFont val="Times New Roman"/>
        <family val="1"/>
      </rPr>
      <t>Planned Outages</t>
    </r>
  </si>
  <si>
    <r>
      <rPr>
        <sz val="11"/>
        <rFont val="Times New Roman"/>
        <family val="1"/>
      </rPr>
      <t>Forced Outages</t>
    </r>
  </si>
  <si>
    <r>
      <rPr>
        <sz val="11"/>
        <rFont val="Times New Roman"/>
        <family val="1"/>
      </rPr>
      <t>Number of tripping</t>
    </r>
  </si>
  <si>
    <r>
      <rPr>
        <sz val="11"/>
        <rFont val="Times New Roman"/>
        <family val="1"/>
      </rPr>
      <t>Number of start-ups</t>
    </r>
    <r>
      <rPr>
        <b/>
        <sz val="11"/>
        <rFont val="Times New Roman"/>
        <family val="1"/>
      </rPr>
      <t>:</t>
    </r>
  </si>
  <si>
    <r>
      <rPr>
        <sz val="11"/>
        <rFont val="Times New Roman"/>
        <family val="1"/>
      </rPr>
      <t>Cold Start-up</t>
    </r>
  </si>
  <si>
    <r>
      <rPr>
        <sz val="11"/>
        <rFont val="Times New Roman"/>
        <family val="1"/>
      </rPr>
      <t>Warm Start-up</t>
    </r>
  </si>
  <si>
    <r>
      <rPr>
        <sz val="11"/>
        <rFont val="Times New Roman"/>
        <family val="1"/>
      </rPr>
      <t>Hot start-up</t>
    </r>
  </si>
  <si>
    <r>
      <rPr>
        <sz val="11"/>
        <rFont val="Times New Roman"/>
        <family val="1"/>
      </rPr>
      <t xml:space="preserve">NOx , SOx ,and other particulate
matter emission in </t>
    </r>
    <r>
      <rPr>
        <b/>
        <sz val="11"/>
        <rFont val="Times New Roman"/>
        <family val="1"/>
      </rPr>
      <t>:</t>
    </r>
  </si>
  <si>
    <r>
      <rPr>
        <sz val="11"/>
        <rFont val="Times New Roman"/>
        <family val="1"/>
      </rPr>
      <t>Design value of emission control equipment</t>
    </r>
  </si>
  <si>
    <r>
      <rPr>
        <sz val="11"/>
        <rFont val="Times New Roman"/>
        <family val="1"/>
      </rPr>
      <t>ppm or mg/Nm3</t>
    </r>
  </si>
  <si>
    <r>
      <rPr>
        <sz val="11"/>
        <rFont val="Times New Roman"/>
        <family val="1"/>
      </rPr>
      <t>Conversion of value added product</t>
    </r>
  </si>
  <si>
    <r>
      <rPr>
        <sz val="11"/>
        <rFont val="Times New Roman"/>
        <family val="1"/>
      </rPr>
      <t>For making roads &amp;embarkment</t>
    </r>
  </si>
  <si>
    <r>
      <rPr>
        <sz val="11"/>
        <rFont val="Times New Roman"/>
        <family val="1"/>
      </rPr>
      <t>Land filling</t>
    </r>
  </si>
  <si>
    <r>
      <rPr>
        <sz val="11"/>
        <rFont val="Times New Roman"/>
        <family val="1"/>
      </rPr>
      <t>Used in plant site in one or other form or used in some other site</t>
    </r>
  </si>
  <si>
    <r>
      <rPr>
        <sz val="11"/>
        <rFont val="Times New Roman"/>
        <family val="1"/>
      </rPr>
      <t>Any other use , Please specify</t>
    </r>
  </si>
  <si>
    <r>
      <rPr>
        <sz val="11"/>
        <rFont val="Times New Roman"/>
        <family val="1"/>
      </rPr>
      <t>Qty. and
Usage</t>
    </r>
  </si>
  <si>
    <r>
      <rPr>
        <sz val="11"/>
        <rFont val="Times New Roman"/>
        <family val="1"/>
      </rPr>
      <t>( Rs. Lakh)</t>
    </r>
  </si>
  <si>
    <r>
      <rPr>
        <sz val="11"/>
        <rFont val="Times New Roman"/>
        <family val="1"/>
      </rPr>
      <t>Average stock of spares</t>
    </r>
  </si>
  <si>
    <r>
      <rPr>
        <sz val="11"/>
        <rFont val="Times New Roman"/>
        <family val="1"/>
      </rPr>
      <t>(Rs. Lakhs)</t>
    </r>
  </si>
  <si>
    <r>
      <rPr>
        <sz val="11"/>
        <rFont val="Times New Roman"/>
        <family val="1"/>
      </rPr>
      <t>Number       of       employees
deployed in O&amp;M</t>
    </r>
  </si>
  <si>
    <r>
      <rPr>
        <sz val="11"/>
        <rFont val="Times New Roman"/>
        <family val="1"/>
      </rPr>
      <t>- Executives</t>
    </r>
  </si>
  <si>
    <r>
      <rPr>
        <sz val="11"/>
        <rFont val="Times New Roman"/>
        <family val="1"/>
      </rPr>
      <t>- Non Executives</t>
    </r>
  </si>
  <si>
    <r>
      <rPr>
        <sz val="11"/>
        <rFont val="Times New Roman"/>
        <family val="1"/>
      </rPr>
      <t>- Corporate office</t>
    </r>
  </si>
  <si>
    <r>
      <rPr>
        <sz val="11"/>
        <rFont val="Times New Roman"/>
        <family val="1"/>
      </rPr>
      <t>Man-MW ratio</t>
    </r>
  </si>
  <si>
    <r>
      <rPr>
        <sz val="11"/>
        <rFont val="Times New Roman"/>
        <family val="1"/>
      </rPr>
      <t>Man/MW</t>
    </r>
  </si>
  <si>
    <r>
      <rPr>
        <sz val="11"/>
        <rFont val="Times New Roman"/>
        <family val="1"/>
      </rPr>
      <t>Note :- * Not applicable to lignite based thermal power station.</t>
    </r>
  </si>
  <si>
    <r>
      <rPr>
        <b/>
        <sz val="11"/>
        <rFont val="Times New Roman"/>
        <family val="1"/>
      </rPr>
      <t>Note:</t>
    </r>
  </si>
  <si>
    <r>
      <rPr>
        <sz val="11"/>
        <rFont val="Times New Roman"/>
        <family val="1"/>
      </rPr>
      <t>2.       In  case  of  two  or  more  stages  or  two  or  more  unit  sizes,  information  should  be furnished separately to the extent possible.</t>
    </r>
  </si>
  <si>
    <r>
      <rPr>
        <sz val="11"/>
        <rFont val="Times New Roman"/>
        <family val="1"/>
      </rPr>
      <t>3.       A brief write-up on the methodology to arrive at the above performance &amp; operation parameters should also be furnished.</t>
    </r>
  </si>
  <si>
    <r>
      <rPr>
        <sz val="11"/>
        <rFont val="Times New Roman"/>
        <family val="1"/>
      </rPr>
      <t>5.       A note on stock of primary fuel maintained giving details of stacking etc. should be furnished.</t>
    </r>
  </si>
  <si>
    <t>Actual Energy supplied to Colony from the station **</t>
  </si>
  <si>
    <t>**</t>
  </si>
  <si>
    <t>Name of Station/ Pit head or Non- Pit head</t>
  </si>
  <si>
    <t>Transportation Distance of the station from the sources of supply</t>
  </si>
  <si>
    <t>Particulars</t>
  </si>
  <si>
    <t>Unit</t>
  </si>
  <si>
    <r>
      <t xml:space="preserve">Weighted Average  Gross Calorific value </t>
    </r>
    <r>
      <rPr>
        <b/>
        <sz val="11"/>
        <rFont val="Times New Roman"/>
        <family val="1"/>
      </rPr>
      <t>(As Billed)</t>
    </r>
  </si>
  <si>
    <r>
      <t xml:space="preserve">Weighted  Average  Gross Calorific value </t>
    </r>
    <r>
      <rPr>
        <b/>
        <sz val="11"/>
        <rFont val="Times New Roman"/>
        <family val="1"/>
      </rPr>
      <t>(As Received)</t>
    </r>
  </si>
  <si>
    <r>
      <t xml:space="preserve">Weighted  Average Gross Calorific value </t>
    </r>
    <r>
      <rPr>
        <b/>
        <sz val="11"/>
        <rFont val="Times New Roman"/>
        <family val="1"/>
      </rPr>
      <t>(As Fired)</t>
    </r>
  </si>
  <si>
    <t>Weighted Average Landed price of Domestic coal</t>
  </si>
  <si>
    <t>Weighted Average Landed Price of Imported coal</t>
  </si>
  <si>
    <t>Weighted Average Landed Price of Spot market/e-auction coal</t>
  </si>
  <si>
    <t>Weighted Average Landed Price of all the Coals</t>
  </si>
  <si>
    <t>Annual Allocation/ Requirement</t>
  </si>
  <si>
    <t>K.lit.</t>
  </si>
  <si>
    <t>Annexure I   Contd…..</t>
  </si>
  <si>
    <t>Transit loss from non-linked mines including  e-auction coal mines.</t>
  </si>
  <si>
    <t>Actual emission</t>
  </si>
  <si>
    <t>Annexure –I  Contd…..</t>
  </si>
  <si>
    <t>1.       List  of  beneficiaries/customers  along  with  allocation  by  GoI  including  variable (allocation of unallocated share) / capacity as
          contracted shall also be furnished separately.In case of two or more secondary fuels, information should be furnished for each of the
          secondary fuel.</t>
  </si>
  <si>
    <t>ENCLOSED</t>
  </si>
  <si>
    <t>4.      Any relevant point or a specific fact having bearing on performance or operating parameters may also be highlighted or brought to the
         notice of the Commission.</t>
  </si>
  <si>
    <t>6.      Details of the instances where the generating stations has invoked the 2014 Tariff Regulations blending with imported or open market 
         coal (within the 30% limit of ECR) with/ without consent of beneficiaries.</t>
  </si>
  <si>
    <t>7.      The declared capacity for peak and off peak period should be given separately as per respective RLDC.</t>
  </si>
  <si>
    <t>Detail of Ash utilization % of fly ash produced</t>
  </si>
  <si>
    <r>
      <rPr>
        <sz val="11"/>
        <rFont val="Times New Roman"/>
        <family val="1"/>
      </rPr>
      <t xml:space="preserve">Weighted      Average      Gross Calorific value </t>
    </r>
    <r>
      <rPr>
        <b/>
        <sz val="11"/>
        <rFont val="Times New Roman"/>
        <family val="1"/>
      </rPr>
      <t>(As received)</t>
    </r>
  </si>
  <si>
    <t>Transit loss from non-linked mines including   e-auction coal mines.</t>
  </si>
  <si>
    <t>(%)</t>
  </si>
  <si>
    <r>
      <rPr>
        <sz val="9"/>
        <rFont val="Times New Roman"/>
        <family val="1"/>
      </rPr>
      <t>Days
&amp; MT</t>
    </r>
  </si>
  <si>
    <t>KM</t>
  </si>
  <si>
    <t>Rs. Lakh</t>
  </si>
  <si>
    <t>Rs/MT</t>
  </si>
  <si>
    <t>MT/KL</t>
  </si>
  <si>
    <t>Rs/MT
or KL</t>
  </si>
  <si>
    <t>MT or KL</t>
  </si>
  <si>
    <r>
      <t xml:space="preserve">Boiler </t>
    </r>
    <r>
      <rPr>
        <sz val="11"/>
        <rFont val="Times New Roman"/>
        <family val="1"/>
      </rPr>
      <t>Days</t>
    </r>
  </si>
  <si>
    <t>KCal/Lit.</t>
  </si>
  <si>
    <t>Rs./KL</t>
  </si>
  <si>
    <t>Spot market/
e-auction coal</t>
  </si>
  <si>
    <r>
      <t xml:space="preserve">Cost    of    spares    actually consumed </t>
    </r>
    <r>
      <rPr>
        <b/>
        <sz val="11"/>
        <rFont val="Times New Roman"/>
        <family val="1"/>
      </rPr>
      <t>#</t>
    </r>
  </si>
  <si>
    <t>8.1.2</t>
  </si>
  <si>
    <t>:Total Energy supplied includes consumption of Township only</t>
  </si>
  <si>
    <t>UNIT :</t>
  </si>
  <si>
    <t>NLC INDIA LIMIED, NEYVELI</t>
  </si>
  <si>
    <t xml:space="preserve">Closed Cycle </t>
  </si>
  <si>
    <t>Pithead Power Station, Lignite quality variation</t>
  </si>
  <si>
    <t>Linked local mine - Pit head Power Station</t>
  </si>
  <si>
    <t xml:space="preserve">HPCL, BPCL, IOC </t>
  </si>
  <si>
    <t>About 240 Kms</t>
  </si>
  <si>
    <t>Road</t>
  </si>
  <si>
    <t>Furnace Oil 2 x 1900 KL and 1 x 100 KL (Common for both stage I and Stage II)</t>
  </si>
  <si>
    <t>8280 KL (Tentative)</t>
  </si>
  <si>
    <t>NLC TPS II- STAGE I 630 MW</t>
  </si>
  <si>
    <t>Nos</t>
  </si>
  <si>
    <t>NLC TPS II Stage I 630 MW</t>
  </si>
  <si>
    <t>Mine-II Capacity 10.5MT and 4.54MT allotted to Stage-1</t>
  </si>
  <si>
    <t>Sources   of   supply/   procurement along  with  contracted  quantity  and grade of coal</t>
  </si>
  <si>
    <t>Annual  Allocation or/and Requirement</t>
  </si>
  <si>
    <r>
      <rPr>
        <sz val="12"/>
        <rFont val="Times New Roman"/>
        <family val="1"/>
      </rPr>
      <t>FSA</t>
    </r>
  </si>
  <si>
    <r>
      <rPr>
        <sz val="12"/>
        <rFont val="Times New Roman"/>
        <family val="1"/>
      </rPr>
      <t>Imported</t>
    </r>
  </si>
  <si>
    <r>
      <rPr>
        <sz val="12"/>
        <rFont val="Times New Roman"/>
        <family val="1"/>
      </rPr>
      <t>Spot Market/e-auction</t>
    </r>
  </si>
  <si>
    <t>Equivalent to domestic coal</t>
  </si>
  <si>
    <t>% and MT (of the total coal consumed )</t>
  </si>
  <si>
    <t>10 lac tonnes including Mines Storage</t>
  </si>
  <si>
    <t>THERMAL POWER STATION-II (STAGE-1)</t>
  </si>
  <si>
    <t xml:space="preserve"> STAGE-1   630 MW (3 X 210 MW)</t>
  </si>
  <si>
    <t>Million Tonnes</t>
  </si>
  <si>
    <t>4.54 Million Tonnes for 75%</t>
  </si>
  <si>
    <t>Mode of Transport (Rail / Road /Sea/Conveyor/MGR /Rope way)</t>
  </si>
  <si>
    <r>
      <t xml:space="preserve">Super Heated:690 T/hr, 158 Kg/cm2 (g) / 540°C   Reheated:594 T/hr, 33 Kg/cm2 (g) / 540°C
</t>
    </r>
    <r>
      <rPr>
        <b/>
        <u/>
        <sz val="12"/>
        <color rgb="FF000000"/>
        <rFont val="Times New Roman"/>
        <family val="1"/>
      </rPr>
      <t xml:space="preserve">Type of Boiler: </t>
    </r>
    <r>
      <rPr>
        <sz val="12"/>
        <color rgb="FF000000"/>
        <rFont val="Times New Roman"/>
        <family val="1"/>
      </rPr>
      <t>Out Door, Single Drum, Natural Circulation, radiant, Dry Bottom, Single Reheat, Pulverised Lignite fired, Tower Type</t>
    </r>
    <r>
      <rPr>
        <b/>
        <u/>
        <sz val="12"/>
        <color rgb="FF000000"/>
        <rFont val="Times New Roman"/>
        <family val="1"/>
      </rPr>
      <t xml:space="preserve">
Type of Steam Turbine:</t>
    </r>
    <r>
      <rPr>
        <sz val="12"/>
        <color rgb="FF000000"/>
        <rFont val="Times New Roman"/>
        <family val="1"/>
      </rPr>
      <t xml:space="preserve"> Double Cylinder, Double casing, Double Exhaust, Condensing, regenerative Cum Single Reheat, Tandem Compound, Axial Flow, Impulse Reaction type.</t>
    </r>
  </si>
  <si>
    <t>10.2.1</t>
  </si>
  <si>
    <t>Actual Export to Grid after Mines consumption</t>
  </si>
  <si>
    <t>MU</t>
  </si>
  <si>
    <r>
      <rPr>
        <sz val="12"/>
        <rFont val="Times New Roman"/>
        <family val="1"/>
      </rPr>
      <t>Name of Company</t>
    </r>
  </si>
  <si>
    <t>THERMAL POWER STATION-II ( STAGE-2)</t>
  </si>
  <si>
    <r>
      <rPr>
        <sz val="12"/>
        <rFont val="Times New Roman"/>
        <family val="1"/>
      </rPr>
      <t>Installed Capacity and Configuration</t>
    </r>
  </si>
  <si>
    <r>
      <rPr>
        <sz val="12"/>
        <rFont val="Times New Roman"/>
        <family val="1"/>
      </rPr>
      <t>MW</t>
    </r>
  </si>
  <si>
    <t>STAGE-2 840 MW(4X210MW)</t>
  </si>
  <si>
    <r>
      <rPr>
        <sz val="12"/>
        <rFont val="Times New Roman"/>
        <family val="1"/>
      </rPr>
      <t>Rated    Steam    Parameters (Also state the type of Steam turbine and Boiler)</t>
    </r>
  </si>
  <si>
    <r>
      <t xml:space="preserve">Super Heated:690 T/hr, 158 Kg/cm2 (g) / 540°C   Reheated:594 T/hr, 33 Kg/cm2 (g) / 540°C
</t>
    </r>
    <r>
      <rPr>
        <b/>
        <u/>
        <sz val="12"/>
        <color rgb="FF000000"/>
        <rFont val="Times New Roman"/>
        <family val="1"/>
      </rPr>
      <t>Type of Boiler</t>
    </r>
    <r>
      <rPr>
        <sz val="12"/>
        <color rgb="FF000000"/>
        <rFont val="Times New Roman"/>
        <family val="1"/>
      </rPr>
      <t xml:space="preserve">: Out Door, Single Drum, Natural Circulation, radiant, Dry Bottom, Single Reheat, Pulverised Lignite fired, Tower Type
</t>
    </r>
    <r>
      <rPr>
        <b/>
        <u/>
        <sz val="12"/>
        <color rgb="FF000000"/>
        <rFont val="Times New Roman"/>
        <family val="1"/>
      </rPr>
      <t>Type of Steam Turbine</t>
    </r>
    <r>
      <rPr>
        <sz val="12"/>
        <color rgb="FF000000"/>
        <rFont val="Times New Roman"/>
        <family val="1"/>
      </rPr>
      <t>: Double Cylinder, Double casing, Double Exhaust, Condensing, regenerative Cum Single Reheat, Tandem Compound, Axial Flow, Impulse Reaction type.</t>
    </r>
  </si>
  <si>
    <r>
      <rPr>
        <sz val="12"/>
        <rFont val="Times New Roman"/>
        <family val="1"/>
      </rPr>
      <t>Type of BFP</t>
    </r>
  </si>
  <si>
    <r>
      <rPr>
        <sz val="12"/>
        <rFont val="Times New Roman"/>
        <family val="1"/>
      </rPr>
      <t>Circulating water system</t>
    </r>
  </si>
  <si>
    <r>
      <rPr>
        <sz val="12"/>
        <rFont val="Times New Roman"/>
        <family val="1"/>
      </rPr>
      <t>Any other Site specific feature</t>
    </r>
  </si>
  <si>
    <r>
      <rPr>
        <b/>
        <sz val="12"/>
        <rFont val="Times New Roman"/>
        <family val="1"/>
      </rPr>
      <t>Fuels :</t>
    </r>
  </si>
  <si>
    <r>
      <rPr>
        <b/>
        <sz val="12"/>
        <rFont val="Times New Roman"/>
        <family val="1"/>
      </rPr>
      <t>Primary Fuel :</t>
    </r>
  </si>
  <si>
    <r>
      <rPr>
        <sz val="12"/>
        <rFont val="Times New Roman"/>
        <family val="1"/>
      </rPr>
      <t>8.1.1</t>
    </r>
  </si>
  <si>
    <r>
      <rPr>
        <sz val="12"/>
        <rFont val="Times New Roman"/>
        <family val="1"/>
      </rPr>
      <t>Annual  Allocation or/andRequirement</t>
    </r>
  </si>
  <si>
    <t>5.96 Million Tonnes for 75%</t>
  </si>
  <si>
    <r>
      <rPr>
        <sz val="12"/>
        <rFont val="Times New Roman"/>
        <family val="1"/>
      </rPr>
      <t>8.1.2</t>
    </r>
  </si>
  <si>
    <r>
      <rPr>
        <sz val="12"/>
        <rFont val="Times New Roman"/>
        <family val="1"/>
      </rPr>
      <t>Sources   of   supply/   procurement
along  with  contracted  quantity  and grade of coal</t>
    </r>
  </si>
  <si>
    <t>Mine-II Capacity 10.5MT and 5.96 MT allotted to Stage-2</t>
  </si>
  <si>
    <r>
      <rPr>
        <sz val="12"/>
        <rFont val="Times New Roman"/>
        <family val="1"/>
      </rPr>
      <t>MT</t>
    </r>
  </si>
  <si>
    <r>
      <rPr>
        <sz val="12"/>
        <rFont val="Times New Roman"/>
        <family val="1"/>
      </rPr>
      <t>8.1.3</t>
    </r>
  </si>
  <si>
    <r>
      <rPr>
        <sz val="12"/>
        <rFont val="Times New Roman"/>
        <family val="1"/>
      </rPr>
      <t>km</t>
    </r>
  </si>
  <si>
    <r>
      <rPr>
        <sz val="12"/>
        <rFont val="Times New Roman"/>
        <family val="1"/>
      </rPr>
      <t>8.1.4</t>
    </r>
  </si>
  <si>
    <r>
      <rPr>
        <sz val="12"/>
        <rFont val="Times New Roman"/>
        <family val="1"/>
      </rPr>
      <t>8.1.5</t>
    </r>
  </si>
  <si>
    <r>
      <rPr>
        <sz val="12"/>
        <rFont val="Times New Roman"/>
        <family val="1"/>
      </rPr>
      <t>Maximum Station capability to stock primary fuel</t>
    </r>
  </si>
  <si>
    <r>
      <rPr>
        <sz val="12"/>
        <rFont val="Times New Roman"/>
        <family val="1"/>
      </rPr>
      <t>Days
&amp; MT</t>
    </r>
  </si>
  <si>
    <t>13 lac tonnes including Mines storage</t>
  </si>
  <si>
    <r>
      <rPr>
        <sz val="12"/>
        <rFont val="Times New Roman"/>
        <family val="1"/>
      </rPr>
      <t>8.1.6</t>
    </r>
  </si>
  <si>
    <r>
      <rPr>
        <sz val="12"/>
        <rFont val="Times New Roman"/>
        <family val="1"/>
      </rPr>
      <t>8.1.7</t>
    </r>
  </si>
  <si>
    <r>
      <rPr>
        <sz val="12"/>
        <rFont val="Times New Roman"/>
        <family val="1"/>
      </rPr>
      <t>Minimum Stock maintained for primary fuel</t>
    </r>
  </si>
  <si>
    <r>
      <rPr>
        <sz val="12"/>
        <rFont val="Times New Roman"/>
        <family val="1"/>
      </rPr>
      <t>8.1.8</t>
    </r>
  </si>
  <si>
    <r>
      <rPr>
        <sz val="12"/>
        <rFont val="Times New Roman"/>
        <family val="1"/>
      </rPr>
      <t>Average stock maintained for primary fuel</t>
    </r>
  </si>
  <si>
    <r>
      <rPr>
        <b/>
        <sz val="12"/>
        <rFont val="Times New Roman"/>
        <family val="1"/>
      </rPr>
      <t>Secondary Fuel :</t>
    </r>
  </si>
  <si>
    <t xml:space="preserve">Furnance Oil </t>
  </si>
  <si>
    <r>
      <rPr>
        <sz val="12"/>
        <rFont val="Times New Roman"/>
        <family val="1"/>
      </rPr>
      <t>8.2.1</t>
    </r>
  </si>
  <si>
    <t>11040 KL (Tentative)</t>
  </si>
  <si>
    <r>
      <rPr>
        <sz val="12"/>
        <rFont val="Times New Roman"/>
        <family val="1"/>
      </rPr>
      <t>8.2.2</t>
    </r>
  </si>
  <si>
    <r>
      <rPr>
        <sz val="12"/>
        <rFont val="Times New Roman"/>
        <family val="1"/>
      </rPr>
      <t>Sources of supply</t>
    </r>
  </si>
  <si>
    <r>
      <rPr>
        <sz val="12"/>
        <rFont val="Times New Roman"/>
        <family val="1"/>
      </rPr>
      <t>8.2.3</t>
    </r>
  </si>
  <si>
    <r>
      <rPr>
        <sz val="12"/>
        <rFont val="Times New Roman"/>
        <family val="1"/>
      </rPr>
      <t>8.2.4</t>
    </r>
  </si>
  <si>
    <r>
      <rPr>
        <sz val="12"/>
        <rFont val="Times New Roman"/>
        <family val="1"/>
      </rPr>
      <t>8.2.5</t>
    </r>
  </si>
  <si>
    <r>
      <rPr>
        <sz val="12"/>
        <rFont val="Times New Roman"/>
        <family val="1"/>
      </rPr>
      <t>Maximum Station capability to stock
secondary fuels</t>
    </r>
  </si>
  <si>
    <r>
      <rPr>
        <sz val="12"/>
        <rFont val="Times New Roman"/>
        <family val="1"/>
      </rPr>
      <t>Klit.</t>
    </r>
  </si>
  <si>
    <r>
      <rPr>
        <sz val="12"/>
        <rFont val="Times New Roman"/>
        <family val="1"/>
      </rPr>
      <t>8.2.6</t>
    </r>
  </si>
  <si>
    <r>
      <rPr>
        <sz val="12"/>
        <rFont val="Times New Roman"/>
        <family val="1"/>
      </rPr>
      <t>Maximum Stock of secondary oil actually maintained</t>
    </r>
  </si>
  <si>
    <r>
      <rPr>
        <sz val="12"/>
        <rFont val="Times New Roman"/>
        <family val="1"/>
      </rPr>
      <t>K.lit.</t>
    </r>
  </si>
  <si>
    <r>
      <rPr>
        <sz val="12"/>
        <rFont val="Times New Roman"/>
        <family val="1"/>
      </rPr>
      <t>8.2.7</t>
    </r>
  </si>
  <si>
    <r>
      <rPr>
        <sz val="12"/>
        <rFont val="Times New Roman"/>
        <family val="1"/>
      </rPr>
      <t>Minimum Stock of secondary oil actually maintained</t>
    </r>
  </si>
  <si>
    <r>
      <rPr>
        <sz val="12"/>
        <rFont val="Times New Roman"/>
        <family val="1"/>
      </rPr>
      <t>8.2.8</t>
    </r>
  </si>
  <si>
    <r>
      <rPr>
        <sz val="12"/>
        <rFont val="Times New Roman"/>
        <family val="1"/>
      </rPr>
      <t>Average Stock of secondary oil actually maintained</t>
    </r>
  </si>
  <si>
    <r>
      <rPr>
        <sz val="12"/>
        <rFont val="Times New Roman"/>
        <family val="1"/>
      </rPr>
      <t>Cost of Spares :</t>
    </r>
  </si>
  <si>
    <r>
      <rPr>
        <sz val="12"/>
        <rFont val="Times New Roman"/>
        <family val="1"/>
      </rPr>
      <t>Cost of Spares capitalized in the books of accounts</t>
    </r>
  </si>
  <si>
    <r>
      <rPr>
        <sz val="12"/>
        <rFont val="Times New Roman"/>
        <family val="1"/>
      </rPr>
      <t>Cost of  spares included in capital cost for the purpose of tariff</t>
    </r>
  </si>
  <si>
    <r>
      <rPr>
        <sz val="12"/>
        <rFont val="Times New Roman"/>
        <family val="1"/>
      </rPr>
      <t>(Rs. Lakh)</t>
    </r>
  </si>
  <si>
    <t>NLC TPS II Stage II 840 MW</t>
  </si>
  <si>
    <r>
      <rPr>
        <sz val="9"/>
        <rFont val="Times New Roman"/>
        <family val="1"/>
      </rPr>
      <t>Equivalent to
domestic coal</t>
    </r>
  </si>
  <si>
    <t>NLC TPS II- STAGE II 840 MW</t>
  </si>
  <si>
    <t>Qty. And Usage</t>
  </si>
  <si>
    <t>Number of employees deployed in O&amp;M</t>
  </si>
  <si>
    <r>
      <rPr>
        <b/>
        <sz val="14"/>
        <rFont val="Calibri"/>
        <family val="2"/>
      </rPr>
      <t xml:space="preserve">PLANT AVAILABILITY/SCHEDULED PLANT LOAD FACTOR ACHIEVED
</t>
    </r>
    <r>
      <rPr>
        <sz val="14"/>
        <rFont val="Calibri"/>
        <family val="2"/>
      </rPr>
      <t>Generating company: NLC India Limited.
Name of Generating station: Thermal Power Station - II- Stage I
Installed Capacity (MW) : 630 MW
Normative Annual Plant Availability Factor (%) approved by Commission : 75%</t>
    </r>
  </si>
  <si>
    <t>Plant Availability Factor Achieved (%)</t>
  </si>
  <si>
    <r>
      <rPr>
        <b/>
        <sz val="14"/>
        <rFont val="Calibri"/>
        <family val="2"/>
      </rPr>
      <t>Month</t>
    </r>
  </si>
  <si>
    <r>
      <rPr>
        <b/>
        <sz val="14"/>
        <rFont val="Arial"/>
        <family val="2"/>
      </rPr>
      <t>2012-13</t>
    </r>
  </si>
  <si>
    <r>
      <rPr>
        <b/>
        <sz val="14"/>
        <rFont val="Arial"/>
        <family val="2"/>
      </rPr>
      <t>2013-14</t>
    </r>
  </si>
  <si>
    <r>
      <rPr>
        <b/>
        <sz val="14"/>
        <rFont val="Arial"/>
        <family val="2"/>
      </rPr>
      <t>2014-15</t>
    </r>
  </si>
  <si>
    <r>
      <rPr>
        <b/>
        <sz val="14"/>
        <rFont val="Arial"/>
        <family val="2"/>
      </rPr>
      <t>2015-16</t>
    </r>
  </si>
  <si>
    <r>
      <rPr>
        <b/>
        <sz val="14"/>
        <rFont val="Arial"/>
        <family val="2"/>
      </rPr>
      <t>2016-17</t>
    </r>
  </si>
  <si>
    <r>
      <rPr>
        <b/>
        <sz val="14"/>
        <rFont val="Calibri"/>
        <family val="2"/>
      </rPr>
      <t>Reasons for shortfall in PAF
achieved vis-a-vis NAPAF</t>
    </r>
  </si>
  <si>
    <r>
      <rPr>
        <sz val="14"/>
        <rFont val="Calibri"/>
        <family val="2"/>
      </rPr>
      <t>April</t>
    </r>
  </si>
  <si>
    <r>
      <rPr>
        <sz val="14"/>
        <rFont val="Calibri"/>
        <family val="2"/>
      </rPr>
      <t>May</t>
    </r>
  </si>
  <si>
    <r>
      <rPr>
        <sz val="14"/>
        <rFont val="Calibri"/>
        <family val="2"/>
      </rPr>
      <t>June</t>
    </r>
  </si>
  <si>
    <r>
      <rPr>
        <sz val="14"/>
        <rFont val="Calibri"/>
        <family val="2"/>
      </rPr>
      <t>July</t>
    </r>
  </si>
  <si>
    <r>
      <rPr>
        <sz val="14"/>
        <rFont val="Calibri"/>
        <family val="2"/>
      </rPr>
      <t>August</t>
    </r>
  </si>
  <si>
    <r>
      <rPr>
        <sz val="14"/>
        <rFont val="Calibri"/>
        <family val="2"/>
      </rPr>
      <t>September</t>
    </r>
  </si>
  <si>
    <r>
      <rPr>
        <sz val="14"/>
        <rFont val="Calibri"/>
        <family val="2"/>
      </rPr>
      <t>October</t>
    </r>
  </si>
  <si>
    <r>
      <rPr>
        <sz val="14"/>
        <rFont val="Calibri"/>
        <family val="2"/>
      </rPr>
      <t>November</t>
    </r>
  </si>
  <si>
    <r>
      <rPr>
        <sz val="14"/>
        <rFont val="Calibri"/>
        <family val="2"/>
      </rPr>
      <t>December</t>
    </r>
  </si>
  <si>
    <r>
      <rPr>
        <sz val="14"/>
        <rFont val="Calibri"/>
        <family val="2"/>
      </rPr>
      <t>January</t>
    </r>
  </si>
  <si>
    <r>
      <rPr>
        <sz val="14"/>
        <rFont val="Calibri"/>
        <family val="2"/>
      </rPr>
      <t>February</t>
    </r>
  </si>
  <si>
    <r>
      <rPr>
        <sz val="14"/>
        <rFont val="Calibri"/>
        <family val="2"/>
      </rPr>
      <t>March</t>
    </r>
  </si>
  <si>
    <r>
      <rPr>
        <b/>
        <sz val="14"/>
        <rFont val="Calibri"/>
        <family val="2"/>
      </rPr>
      <t>Annual</t>
    </r>
  </si>
  <si>
    <r>
      <rPr>
        <b/>
        <sz val="14"/>
        <rFont val="Calibri"/>
        <family val="2"/>
      </rPr>
      <t>Plant Load Factor Achieved (%)</t>
    </r>
  </si>
  <si>
    <r>
      <rPr>
        <sz val="14"/>
        <rFont val="Calibri"/>
        <family val="2"/>
      </rPr>
      <t>Month</t>
    </r>
  </si>
  <si>
    <r>
      <rPr>
        <b/>
        <sz val="14"/>
        <rFont val="Calibri"/>
        <family val="2"/>
      </rPr>
      <t>Reasons for shortfall in PLF
achieved vis-a-vis Target PLF</t>
    </r>
  </si>
  <si>
    <r>
      <rPr>
        <b/>
        <sz val="14"/>
        <rFont val="Calibri"/>
        <family val="2"/>
      </rPr>
      <t xml:space="preserve">PLANT AVAILABILITY/SCHEDULED PLANT LOAD FACTOR ACHIEVED
</t>
    </r>
    <r>
      <rPr>
        <sz val="14"/>
        <rFont val="Calibri"/>
        <family val="2"/>
      </rPr>
      <t>Generating company: NLC India Limited.
Name of Generating station: Thermal Power Station - II- Stage II
Installed Capacity (MW) : 840 MW
Normative Annual Plant Availability Factor (%) approved by Commission : 75%</t>
    </r>
  </si>
  <si>
    <t>Annexure –IV TSII STAGE II</t>
  </si>
  <si>
    <t>Annexure –IV STAGE I</t>
  </si>
  <si>
    <r>
      <rPr>
        <b/>
        <sz val="10"/>
        <rFont val="Arial"/>
        <family val="34"/>
      </rPr>
      <t>Annexure-V (C)</t>
    </r>
  </si>
  <si>
    <t>Name of Generating  Station  : TPS-II Stage I &amp; II</t>
  </si>
  <si>
    <t xml:space="preserve">COD of Units/Station:      </t>
  </si>
  <si>
    <r>
      <rPr>
        <b/>
        <sz val="9"/>
        <rFont val="Calibri"/>
        <family val="34"/>
      </rPr>
      <t>Details of expenditure incurred from Compensation Allowance and Special Allowance during Tariff Period 2009-14</t>
    </r>
  </si>
  <si>
    <r>
      <rPr>
        <b/>
        <sz val="9"/>
        <rFont val="Century Gothic"/>
        <family val="34"/>
      </rPr>
      <t>FY Year</t>
    </r>
  </si>
  <si>
    <r>
      <rPr>
        <b/>
        <sz val="9"/>
        <rFont val="Century Gothic"/>
        <family val="34"/>
      </rPr>
      <t>Add- cap allowed by the Commis sion under the provisio n of Regulati on 9(2)</t>
    </r>
  </si>
  <si>
    <r>
      <rPr>
        <b/>
        <sz val="9"/>
        <rFont val="Century Gothic"/>
        <family val="34"/>
      </rPr>
      <t xml:space="preserve">Compens atory allowance allowed
</t>
    </r>
    <r>
      <rPr>
        <b/>
        <sz val="9"/>
        <rFont val="Century Gothic"/>
        <family val="34"/>
      </rPr>
      <t>by the Commissi on, if any</t>
    </r>
  </si>
  <si>
    <r>
      <rPr>
        <b/>
        <sz val="9"/>
        <rFont val="Century Gothic"/>
        <family val="34"/>
      </rPr>
      <t xml:space="preserve">Special allowanc e
</t>
    </r>
    <r>
      <rPr>
        <b/>
        <sz val="9"/>
        <rFont val="Century Gothic"/>
        <family val="34"/>
      </rPr>
      <t>allowed by the Commiss ion, if any</t>
    </r>
  </si>
  <si>
    <r>
      <rPr>
        <b/>
        <sz val="9"/>
        <rFont val="Century Gothic"/>
        <family val="34"/>
      </rPr>
      <t>Details of Asset/Work wise Capitalisation based on the Expenditure allowed by the Commission in the tariff period 2009-14</t>
    </r>
  </si>
  <si>
    <r>
      <rPr>
        <b/>
        <sz val="9"/>
        <rFont val="Century Gothic"/>
        <family val="34"/>
      </rPr>
      <t>Capitali sation done which has not been claime d/ allowed in the tariff</t>
    </r>
  </si>
  <si>
    <t>Total Addi tion during the year</t>
  </si>
  <si>
    <r>
      <rPr>
        <b/>
        <sz val="9"/>
        <rFont val="Century Gothic"/>
        <family val="34"/>
      </rPr>
      <t xml:space="preserve">Total Additi on durin g  the year as
</t>
    </r>
    <r>
      <rPr>
        <b/>
        <sz val="9"/>
        <rFont val="Century Gothic"/>
        <family val="34"/>
      </rPr>
      <t xml:space="preserve">per duly audit ed Sche dule of Fixed
</t>
    </r>
    <r>
      <rPr>
        <b/>
        <sz val="9"/>
        <rFont val="Century Gothic"/>
        <family val="34"/>
      </rPr>
      <t>Asset</t>
    </r>
  </si>
  <si>
    <r>
      <rPr>
        <b/>
        <sz val="9"/>
        <rFont val="Century Gothic"/>
        <family val="34"/>
      </rPr>
      <t xml:space="preserve">Variati on if any to be recon ciled
</t>
    </r>
    <r>
      <rPr>
        <b/>
        <sz val="9"/>
        <rFont val="Century Gothic"/>
        <family val="34"/>
      </rPr>
      <t>/justifi ed.</t>
    </r>
  </si>
  <si>
    <r>
      <rPr>
        <b/>
        <sz val="9"/>
        <rFont val="Century Gothic"/>
        <family val="34"/>
      </rPr>
      <t xml:space="preserve">Capitalisation out of add cap allowed under Regulation
</t>
    </r>
    <r>
      <rPr>
        <b/>
        <sz val="9"/>
        <rFont val="Century Gothic"/>
        <family val="34"/>
      </rPr>
      <t>9(2)</t>
    </r>
  </si>
  <si>
    <r>
      <rPr>
        <b/>
        <sz val="9"/>
        <rFont val="Century Gothic"/>
        <family val="34"/>
      </rPr>
      <t xml:space="preserve">Capitalisation  out of Compensati on allowance
</t>
    </r>
    <r>
      <rPr>
        <b/>
        <sz val="9"/>
        <rFont val="Century Gothic"/>
        <family val="34"/>
      </rPr>
      <t>in the stations wherever applicable</t>
    </r>
  </si>
  <si>
    <t>Capitalisa tion out of Special Allowanc e allowed in the stations where applicable</t>
  </si>
  <si>
    <r>
      <rPr>
        <sz val="9"/>
        <rFont val="Century Gothic"/>
        <family val="34"/>
      </rPr>
      <t xml:space="preserve">Asset
</t>
    </r>
    <r>
      <rPr>
        <sz val="9"/>
        <rFont val="Century Gothic"/>
        <family val="34"/>
      </rPr>
      <t xml:space="preserve">/
</t>
    </r>
    <r>
      <rPr>
        <sz val="9"/>
        <rFont val="Century Gothic"/>
        <family val="34"/>
      </rPr>
      <t>work</t>
    </r>
  </si>
  <si>
    <r>
      <rPr>
        <b/>
        <sz val="9"/>
        <rFont val="Century Gothic"/>
        <family val="34"/>
      </rPr>
      <t>(Rs.la kh)</t>
    </r>
  </si>
  <si>
    <r>
      <rPr>
        <sz val="9"/>
        <rFont val="Century Gothic"/>
        <family val="34"/>
      </rPr>
      <t xml:space="preserve">Asset
</t>
    </r>
    <r>
      <rPr>
        <sz val="9"/>
        <rFont val="Century Gothic"/>
        <family val="34"/>
      </rPr>
      <t>/work</t>
    </r>
  </si>
  <si>
    <r>
      <rPr>
        <b/>
        <sz val="9"/>
        <rFont val="Century Gothic"/>
        <family val="34"/>
      </rPr>
      <t>(Rs. lak h)</t>
    </r>
  </si>
  <si>
    <r>
      <rPr>
        <sz val="9"/>
        <rFont val="Century Gothic"/>
        <family val="34"/>
      </rPr>
      <t>Ass et/ wo rk</t>
    </r>
  </si>
  <si>
    <t>2009-10</t>
  </si>
  <si>
    <t>Eff. Treattment PlantEff. Treattment Plant</t>
  </si>
  <si>
    <t xml:space="preserve">2010-11
</t>
  </si>
  <si>
    <t/>
  </si>
  <si>
    <t xml:space="preserve">2011-12
</t>
  </si>
  <si>
    <t>Sox/Nox gas monitoringSox/Nox gas monitoring,civil works</t>
  </si>
  <si>
    <t>2012-13</t>
  </si>
  <si>
    <t>2013-14</t>
  </si>
  <si>
    <t>2014-15</t>
  </si>
  <si>
    <t>-</t>
  </si>
  <si>
    <r>
      <rPr>
        <b/>
        <sz val="9"/>
        <rFont val="Century Gothic"/>
        <family val="34"/>
      </rPr>
      <t>Note :Similar Details shall be furnished for the period 2014-15 to 2016-17 under Tariff Regulations, 2014</t>
    </r>
  </si>
  <si>
    <t># For the years 2014-17, audited schedule for assets will be furnished in due course.</t>
  </si>
  <si>
    <r>
      <rPr>
        <b/>
        <sz val="12"/>
        <rFont val="Times New Roman"/>
        <family val="1"/>
      </rPr>
      <t>Annexure-VI (C)</t>
    </r>
  </si>
  <si>
    <r>
      <rPr>
        <b/>
        <sz val="12"/>
        <rFont val="Times New Roman"/>
        <family val="1"/>
      </rPr>
      <t>DETAILS OF WATER CHARGES</t>
    </r>
  </si>
  <si>
    <r>
      <rPr>
        <b/>
        <sz val="12"/>
        <rFont val="Times New Roman"/>
        <family val="1"/>
      </rPr>
      <t>(To be filled for each of the Thermal Generating Station )</t>
    </r>
  </si>
  <si>
    <t>Name of the Company: NLC INDIA LIMITED</t>
  </si>
  <si>
    <t xml:space="preserve">Name of the Power Station: THERMAL POWER STATION - II- Stage I 630 MW </t>
  </si>
  <si>
    <r>
      <rPr>
        <sz val="12"/>
        <rFont val="Times New Roman"/>
        <family val="1"/>
      </rPr>
      <t>(Rs. In Lakhs)</t>
    </r>
  </si>
  <si>
    <r>
      <rPr>
        <sz val="12"/>
        <rFont val="Times New Roman"/>
        <family val="1"/>
      </rPr>
      <t>Sl.No.</t>
    </r>
  </si>
  <si>
    <r>
      <rPr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</si>
  <si>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2012-13</t>
    </r>
  </si>
  <si>
    <r>
      <rPr>
        <b/>
        <sz val="12"/>
        <rFont val="Times New Roman"/>
        <family val="1"/>
      </rPr>
      <t>2013-14</t>
    </r>
  </si>
  <si>
    <r>
      <rPr>
        <b/>
        <sz val="12"/>
        <rFont val="Times New Roman"/>
        <family val="1"/>
      </rPr>
      <t>2014-15</t>
    </r>
  </si>
  <si>
    <r>
      <rPr>
        <b/>
        <sz val="12"/>
        <rFont val="Times New Roman"/>
        <family val="1"/>
      </rPr>
      <t>2015-16</t>
    </r>
  </si>
  <si>
    <r>
      <rPr>
        <b/>
        <sz val="12"/>
        <rFont val="Times New Roman"/>
        <family val="1"/>
      </rPr>
      <t>2016-17</t>
    </r>
  </si>
  <si>
    <r>
      <rPr>
        <sz val="12"/>
        <rFont val="Times New Roman"/>
        <family val="1"/>
      </rPr>
      <t>(A)</t>
    </r>
  </si>
  <si>
    <r>
      <rPr>
        <b/>
        <sz val="12"/>
        <rFont val="Times New Roman"/>
        <family val="1"/>
      </rPr>
      <t>Plant</t>
    </r>
  </si>
  <si>
    <r>
      <rPr>
        <sz val="12"/>
        <rFont val="Times New Roman"/>
        <family val="1"/>
      </rPr>
      <t>Type of Plant</t>
    </r>
  </si>
  <si>
    <t>Lignite Based Power Plant</t>
  </si>
  <si>
    <r>
      <rPr>
        <sz val="12"/>
        <rFont val="Times New Roman"/>
        <family val="1"/>
      </rPr>
      <t>Type of Cooling Tower</t>
    </r>
  </si>
  <si>
    <t>Natural Draught</t>
  </si>
  <si>
    <r>
      <rPr>
        <sz val="12"/>
        <rFont val="Times New Roman"/>
        <family val="1"/>
      </rPr>
      <t>Type of Cooling Water System</t>
    </r>
  </si>
  <si>
    <t>Closed cycle</t>
  </si>
  <si>
    <t>Any Special Features which may increase/reduce water consumption</t>
  </si>
  <si>
    <t>The write up of the circulating water system is enclosed</t>
  </si>
  <si>
    <r>
      <rPr>
        <sz val="12"/>
        <rFont val="Times New Roman"/>
        <family val="1"/>
      </rPr>
      <t>(B)</t>
    </r>
  </si>
  <si>
    <r>
      <rPr>
        <b/>
        <sz val="12"/>
        <rFont val="Times New Roman"/>
        <family val="1"/>
      </rPr>
      <t>Quantum of Water : ( Cubic Meter)</t>
    </r>
  </si>
  <si>
    <r>
      <rPr>
        <sz val="12"/>
        <rFont val="Times New Roman"/>
        <family val="1"/>
      </rPr>
      <t>Contracted Quantum</t>
    </r>
  </si>
  <si>
    <r>
      <rPr>
        <sz val="12"/>
        <rFont val="Times New Roman"/>
        <family val="1"/>
      </rPr>
      <t>Allocation of Water</t>
    </r>
  </si>
  <si>
    <t>Actual water Consumption in KL</t>
  </si>
  <si>
    <t>1,67,90,989</t>
  </si>
  <si>
    <t>1,70,62,201</t>
  </si>
  <si>
    <t>1,54,49,562</t>
  </si>
  <si>
    <t>1,55,57,742</t>
  </si>
  <si>
    <t>7A</t>
  </si>
  <si>
    <t>Raw Water Supplied by Mines</t>
  </si>
  <si>
    <r>
      <rPr>
        <sz val="12"/>
        <rFont val="Times New Roman"/>
        <family val="1"/>
      </rPr>
      <t>Rate of Water Charges</t>
    </r>
  </si>
  <si>
    <r>
      <rPr>
        <sz val="12"/>
        <rFont val="Times New Roman"/>
        <family val="1"/>
      </rPr>
      <t>Other charges/Fees , if paid as part  of Water Charges</t>
    </r>
  </si>
  <si>
    <r>
      <rPr>
        <sz val="12"/>
        <rFont val="Times New Roman"/>
        <family val="1"/>
      </rPr>
      <t>Total water Charges Paid</t>
    </r>
  </si>
  <si>
    <t>Note::</t>
  </si>
  <si>
    <r>
      <rPr>
        <sz val="12"/>
        <rFont val="Times New Roman"/>
        <family val="1"/>
      </rPr>
      <t>Any abnormal increase in Water consumption &amp; water Charges on any year shall be explained  separately</t>
    </r>
  </si>
  <si>
    <r>
      <rPr>
        <b/>
        <sz val="12"/>
        <rFont val="Arial"/>
        <family val="34"/>
      </rPr>
      <t>Annexure VI (D)</t>
    </r>
  </si>
  <si>
    <r>
      <rPr>
        <b/>
        <sz val="12"/>
        <rFont val="Arial"/>
        <family val="34"/>
      </rPr>
      <t>DETAILS OF CAPITAL SPARES</t>
    </r>
  </si>
  <si>
    <t>(To be filled for each of the Thermal Generating Station or Transmission System in each Region)
( For ULDC  scheme to be filled up separately )</t>
  </si>
  <si>
    <t>Name of the Power Station or Transmission Region: THERMAL POWER STATION - II- Stage I</t>
  </si>
  <si>
    <r>
      <rPr>
        <sz val="12"/>
        <rFont val="Arial"/>
        <family val="34"/>
      </rPr>
      <t>(Rs. In Lakhs)</t>
    </r>
  </si>
  <si>
    <r>
      <rPr>
        <b/>
        <sz val="12"/>
        <rFont val="Arial"/>
        <family val="34"/>
      </rPr>
      <t>Sl.No.</t>
    </r>
  </si>
  <si>
    <r>
      <rPr>
        <b/>
        <sz val="12"/>
        <rFont val="Arial"/>
        <family val="34"/>
      </rPr>
      <t>ITEM</t>
    </r>
  </si>
  <si>
    <r>
      <rPr>
        <b/>
        <sz val="12"/>
        <rFont val="Arial"/>
        <family val="34"/>
      </rPr>
      <t>2012-13</t>
    </r>
  </si>
  <si>
    <r>
      <rPr>
        <b/>
        <sz val="12"/>
        <rFont val="Arial"/>
        <family val="34"/>
      </rPr>
      <t>2013-14</t>
    </r>
  </si>
  <si>
    <r>
      <rPr>
        <b/>
        <sz val="12"/>
        <rFont val="Arial"/>
        <family val="34"/>
      </rPr>
      <t>2014-15</t>
    </r>
  </si>
  <si>
    <r>
      <rPr>
        <b/>
        <sz val="12"/>
        <rFont val="Arial"/>
        <family val="34"/>
      </rPr>
      <t>2015-16</t>
    </r>
  </si>
  <si>
    <r>
      <rPr>
        <b/>
        <sz val="12"/>
        <rFont val="Arial"/>
        <family val="34"/>
      </rPr>
      <t>2016-17</t>
    </r>
  </si>
  <si>
    <r>
      <rPr>
        <sz val="12"/>
        <rFont val="Arial"/>
        <family val="34"/>
      </rPr>
      <t>(A)</t>
    </r>
  </si>
  <si>
    <r>
      <rPr>
        <sz val="12"/>
        <rFont val="Arial"/>
        <family val="34"/>
      </rPr>
      <t>Details of Capital Spares in opening Stock</t>
    </r>
  </si>
  <si>
    <r>
      <rPr>
        <sz val="12"/>
        <rFont val="Arial"/>
        <family val="34"/>
      </rPr>
      <t>(B)</t>
    </r>
  </si>
  <si>
    <r>
      <rPr>
        <sz val="12"/>
        <rFont val="Arial"/>
        <family val="34"/>
      </rPr>
      <t>Details of Capital Spares procured during the year</t>
    </r>
  </si>
  <si>
    <r>
      <rPr>
        <sz val="12"/>
        <rFont val="Arial"/>
        <family val="34"/>
      </rPr>
      <t>(C)</t>
    </r>
  </si>
  <si>
    <r>
      <rPr>
        <sz val="12"/>
        <rFont val="Arial"/>
        <family val="34"/>
      </rPr>
      <t>Details of capital spares consumed during the year</t>
    </r>
  </si>
  <si>
    <t>Year wise Consumption List Enclosed (only soft copy)</t>
  </si>
  <si>
    <r>
      <rPr>
        <sz val="12"/>
        <rFont val="Arial"/>
        <family val="34"/>
      </rPr>
      <t>…</t>
    </r>
  </si>
  <si>
    <r>
      <rPr>
        <sz val="12"/>
        <rFont val="Arial"/>
        <family val="34"/>
      </rPr>
      <t>(D)</t>
    </r>
  </si>
  <si>
    <t>Details of capital spares closing at the end of the Year</t>
  </si>
  <si>
    <t>Annexure VI (A)</t>
  </si>
  <si>
    <r>
      <rPr>
        <b/>
        <sz val="11"/>
        <rFont val="Arial"/>
        <family val="34"/>
      </rPr>
      <t>DETAILS OF OPERATION AND MAINTENANCE EXPENSES</t>
    </r>
  </si>
  <si>
    <r>
      <rPr>
        <b/>
        <sz val="10"/>
        <rFont val="Arial"/>
        <family val="34"/>
      </rPr>
      <t>(To be filled for each of the Thermal /Hydro Generating Station)</t>
    </r>
  </si>
  <si>
    <t>Name of the Power Station : TPS-II</t>
  </si>
  <si>
    <r>
      <rPr>
        <sz val="11"/>
        <rFont val="Arial"/>
        <family val="34"/>
      </rPr>
      <t>(Rs. In Lakhs)</t>
    </r>
  </si>
  <si>
    <r>
      <rPr>
        <sz val="10"/>
        <rFont val="Arial"/>
        <family val="34"/>
      </rPr>
      <t>Sl.No.</t>
    </r>
  </si>
  <si>
    <r>
      <rPr>
        <sz val="11"/>
        <rFont val="Arial"/>
        <family val="34"/>
      </rPr>
      <t>ITEM</t>
    </r>
  </si>
  <si>
    <t>MIS</t>
  </si>
  <si>
    <t>CTB</t>
  </si>
  <si>
    <r>
      <rPr>
        <b/>
        <sz val="11"/>
        <rFont val="Arial"/>
        <family val="34"/>
      </rPr>
      <t>2012-13</t>
    </r>
  </si>
  <si>
    <r>
      <rPr>
        <b/>
        <sz val="11"/>
        <rFont val="Arial"/>
        <family val="34"/>
      </rPr>
      <t>2013-14</t>
    </r>
  </si>
  <si>
    <r>
      <rPr>
        <b/>
        <sz val="11"/>
        <rFont val="Arial"/>
        <family val="34"/>
      </rPr>
      <t>2014-15</t>
    </r>
  </si>
  <si>
    <r>
      <rPr>
        <b/>
        <sz val="11"/>
        <rFont val="Arial"/>
        <family val="34"/>
      </rPr>
      <t>2015-16</t>
    </r>
  </si>
  <si>
    <r>
      <rPr>
        <b/>
        <sz val="11"/>
        <rFont val="Arial"/>
        <family val="34"/>
      </rPr>
      <t>2016-17</t>
    </r>
  </si>
  <si>
    <r>
      <rPr>
        <sz val="11"/>
        <rFont val="Arial"/>
        <family val="34"/>
      </rPr>
      <t>(A)</t>
    </r>
  </si>
  <si>
    <r>
      <rPr>
        <sz val="11"/>
        <rFont val="Arial"/>
        <family val="34"/>
      </rPr>
      <t>Breakup of O&amp;M expenses :</t>
    </r>
  </si>
  <si>
    <r>
      <rPr>
        <sz val="11"/>
        <rFont val="Arial"/>
        <family val="34"/>
      </rPr>
      <t>Consumption of Stores and Spares</t>
    </r>
  </si>
  <si>
    <r>
      <rPr>
        <sz val="11"/>
        <rFont val="Arial"/>
        <family val="34"/>
      </rPr>
      <t>Repair and Maintenance</t>
    </r>
  </si>
  <si>
    <r>
      <rPr>
        <sz val="11"/>
        <rFont val="Arial"/>
        <family val="34"/>
      </rPr>
      <t>Insurance</t>
    </r>
  </si>
  <si>
    <t>Insurance</t>
  </si>
  <si>
    <r>
      <rPr>
        <sz val="11"/>
        <rFont val="Arial"/>
        <family val="34"/>
      </rPr>
      <t>Security (normal)</t>
    </r>
  </si>
  <si>
    <r>
      <rPr>
        <sz val="11"/>
        <rFont val="Arial"/>
        <family val="34"/>
      </rPr>
      <t>Additional Security it any on the advise of Govt. Agency/
Statutory Authorityf</t>
    </r>
  </si>
  <si>
    <r>
      <rPr>
        <sz val="11"/>
        <rFont val="Arial"/>
        <family val="34"/>
      </rPr>
      <t>Water Charges</t>
    </r>
  </si>
  <si>
    <r>
      <rPr>
        <sz val="11"/>
        <rFont val="Arial"/>
        <family val="34"/>
      </rPr>
      <t>Administrative Expenses :</t>
    </r>
  </si>
  <si>
    <r>
      <rPr>
        <sz val="11"/>
        <rFont val="Arial"/>
        <family val="34"/>
      </rPr>
      <t>- Rent</t>
    </r>
  </si>
  <si>
    <r>
      <rPr>
        <sz val="11"/>
        <rFont val="Arial"/>
        <family val="34"/>
      </rPr>
      <t>- Electricity Charges</t>
    </r>
  </si>
  <si>
    <r>
      <rPr>
        <sz val="11"/>
        <rFont val="Arial"/>
        <family val="34"/>
      </rPr>
      <t>- Traveling and conveyance</t>
    </r>
  </si>
  <si>
    <r>
      <rPr>
        <sz val="11"/>
        <rFont val="Arial"/>
        <family val="34"/>
      </rPr>
      <t>- Communication expenses</t>
    </r>
  </si>
  <si>
    <r>
      <rPr>
        <sz val="11"/>
        <rFont val="Arial"/>
        <family val="34"/>
      </rPr>
      <t>- Advertising</t>
    </r>
  </si>
  <si>
    <r>
      <rPr>
        <sz val="11"/>
        <rFont val="Arial"/>
        <family val="34"/>
      </rPr>
      <t>- Foundation laying and inauguration</t>
    </r>
  </si>
  <si>
    <r>
      <rPr>
        <sz val="11"/>
        <rFont val="Arial"/>
        <family val="34"/>
      </rPr>
      <t>- Donations</t>
    </r>
  </si>
  <si>
    <r>
      <rPr>
        <sz val="11"/>
        <rFont val="Arial"/>
        <family val="34"/>
      </rPr>
      <t>- Entertainment</t>
    </r>
  </si>
  <si>
    <r>
      <rPr>
        <sz val="11"/>
        <rFont val="Arial"/>
        <family val="34"/>
      </rPr>
      <t>-Filing Fees</t>
    </r>
  </si>
  <si>
    <r>
      <rPr>
        <sz val="11"/>
        <rFont val="Arial"/>
        <family val="34"/>
      </rPr>
      <t>Sub-Total (Administrative Expenses)</t>
    </r>
  </si>
  <si>
    <r>
      <rPr>
        <sz val="11"/>
        <rFont val="Arial"/>
        <family val="34"/>
      </rPr>
      <t>Employee Cost</t>
    </r>
  </si>
  <si>
    <r>
      <rPr>
        <sz val="11"/>
        <rFont val="Arial"/>
        <family val="34"/>
      </rPr>
      <t>-Salaries, wages and allowances</t>
    </r>
  </si>
  <si>
    <t>Emp. Remuneration</t>
  </si>
  <si>
    <r>
      <rPr>
        <sz val="11"/>
        <rFont val="Arial"/>
        <family val="34"/>
      </rPr>
      <t>-Staff welfare expenses</t>
    </r>
  </si>
  <si>
    <t>Welfare Expenses</t>
  </si>
  <si>
    <r>
      <rPr>
        <sz val="11"/>
        <rFont val="Arial"/>
        <family val="34"/>
      </rPr>
      <t>-Productivity linked incentive</t>
    </r>
  </si>
  <si>
    <t>Bonus &amp; Incentives</t>
  </si>
  <si>
    <r>
      <rPr>
        <sz val="11"/>
        <rFont val="Arial"/>
        <family val="34"/>
      </rPr>
      <t>- Expenditure on VRS</t>
    </r>
  </si>
  <si>
    <r>
      <rPr>
        <sz val="11"/>
        <rFont val="Arial"/>
        <family val="34"/>
      </rPr>
      <t>-Ex-gratia</t>
    </r>
  </si>
  <si>
    <t>Superannuation Benefits ,CPF &amp; Gratuity</t>
  </si>
  <si>
    <r>
      <rPr>
        <sz val="11"/>
        <rFont val="Arial"/>
        <family val="34"/>
      </rPr>
      <t>-Performance related pay (PRP)</t>
    </r>
  </si>
  <si>
    <r>
      <rPr>
        <sz val="11"/>
        <rFont val="Arial"/>
        <family val="34"/>
      </rPr>
      <t>Sub-Total (Employee Cost)</t>
    </r>
  </si>
  <si>
    <r>
      <rPr>
        <sz val="11"/>
        <rFont val="Arial"/>
        <family val="34"/>
      </rPr>
      <t>Loss of store</t>
    </r>
  </si>
  <si>
    <r>
      <rPr>
        <sz val="11"/>
        <rFont val="Arial"/>
        <family val="34"/>
      </rPr>
      <t>Provisions</t>
    </r>
  </si>
  <si>
    <t>Provisions</t>
  </si>
  <si>
    <r>
      <rPr>
        <sz val="11"/>
        <rFont val="Arial"/>
        <family val="34"/>
      </rPr>
      <t>Prior Period Adjustment , if any</t>
    </r>
  </si>
  <si>
    <r>
      <rPr>
        <sz val="11"/>
        <rFont val="Arial"/>
        <family val="34"/>
      </rPr>
      <t>Corporate office expenses allocation</t>
    </r>
  </si>
  <si>
    <t>Common Charges</t>
  </si>
  <si>
    <r>
      <rPr>
        <sz val="11"/>
        <rFont val="Arial"/>
        <family val="34"/>
      </rPr>
      <t>- Others (Specify items)</t>
    </r>
  </si>
  <si>
    <r>
      <rPr>
        <sz val="11"/>
        <rFont val="Arial"/>
        <family val="34"/>
      </rPr>
      <t>Total (1 to 12)</t>
    </r>
  </si>
  <si>
    <t>14.1</t>
  </si>
  <si>
    <r>
      <rPr>
        <sz val="11"/>
        <rFont val="Arial"/>
        <family val="34"/>
      </rPr>
      <t>Revenue/ Recoveries, if any</t>
    </r>
  </si>
  <si>
    <t>Recovery</t>
  </si>
  <si>
    <r>
      <rPr>
        <sz val="11"/>
        <rFont val="Arial"/>
        <family val="34"/>
      </rPr>
      <t>Net Expenses</t>
    </r>
  </si>
  <si>
    <r>
      <rPr>
        <sz val="11"/>
        <rFont val="Arial"/>
        <family val="34"/>
      </rPr>
      <t xml:space="preserve">Capital spares consumed </t>
    </r>
    <r>
      <rPr>
        <b/>
        <sz val="11"/>
        <rFont val="Arial"/>
        <family val="34"/>
      </rPr>
      <t xml:space="preserve">not included in (A) (1)
above and not claimed /allowed by Commission </t>
    </r>
    <r>
      <rPr>
        <sz val="11"/>
        <rFont val="Arial"/>
        <family val="34"/>
      </rPr>
      <t>for</t>
    </r>
  </si>
  <si>
    <r>
      <rPr>
        <sz val="11"/>
        <rFont val="Arial"/>
        <family val="34"/>
      </rPr>
      <t>Notes:</t>
    </r>
  </si>
  <si>
    <t>Other Expenses-Break up</t>
  </si>
  <si>
    <t>Internal Services</t>
  </si>
  <si>
    <t>Canteen Expenses</t>
  </si>
  <si>
    <t>Tender Advertisement</t>
  </si>
  <si>
    <t>Safety</t>
  </si>
  <si>
    <t>Licence Fees</t>
  </si>
  <si>
    <t>Inland tours</t>
  </si>
  <si>
    <t>Arbitration charges</t>
  </si>
  <si>
    <t>Other Expenses</t>
  </si>
  <si>
    <t>Total</t>
  </si>
  <si>
    <t>Ex-Gratia Break up</t>
  </si>
  <si>
    <t>Gratuity</t>
  </si>
  <si>
    <t>CPF</t>
  </si>
  <si>
    <t>Superannuation Benefits</t>
  </si>
  <si>
    <t>IUSS Canteen</t>
  </si>
  <si>
    <t>EL Encashment</t>
  </si>
  <si>
    <t xml:space="preserve">Name of the Power Station: THERMAL POWER STATION - II stage II </t>
  </si>
  <si>
    <t>Name of the Power Station or Transmission Region: THERMAL POWER STATION - II stage II</t>
  </si>
  <si>
    <t>NOTES TO ANNEXURE VIA</t>
  </si>
  <si>
    <t>1. Corporate expenses have been allocated as furnished in Annexure VIII</t>
  </si>
  <si>
    <t>2. Reasons for variation in excess of 10%: Increase of 1. Salary &amp; Wages 2.Stores and Spares 3.Repir &amp; Maintenance Expenditure</t>
  </si>
  <si>
    <t>3.O &amp; M Expenses, which includes Lignite Handling System expenditure have been reconciled with audited Balance Sheet.</t>
  </si>
  <si>
    <t>4.Break up of employees expenditure furnished below</t>
  </si>
  <si>
    <t>5.Break up of Staff welfare expenses furnished</t>
  </si>
  <si>
    <t>6.No.Abnormal expenses</t>
  </si>
  <si>
    <t>8.Details of water charges furnished in Annexure VIC</t>
  </si>
  <si>
    <t>7.No of Employees for VRS: 3</t>
  </si>
  <si>
    <t>Rs. IN Lakhs</t>
  </si>
  <si>
    <t>Gl Code</t>
  </si>
  <si>
    <t>T.A.SUPERANNUATION.</t>
  </si>
  <si>
    <t>T.A.MEDICAL</t>
  </si>
  <si>
    <t>SCHOLARSHIPS TO WARD</t>
  </si>
  <si>
    <t>SAFETY PERSONAL PROT</t>
  </si>
  <si>
    <t>REIMBURSMENT OF MEMB</t>
  </si>
  <si>
    <t>REIMBURSEMENT OF CON</t>
  </si>
  <si>
    <t>PMT UNDER POST RETIR</t>
  </si>
  <si>
    <t>MEDICAL REFERRAL PAY</t>
  </si>
  <si>
    <t>EMPLOYEES WELFARE EX</t>
  </si>
  <si>
    <t>INDUSTRIAL CANTEEN -</t>
  </si>
  <si>
    <t>Net Value</t>
  </si>
  <si>
    <t>DETAILS</t>
  </si>
  <si>
    <t>STAFF WELFARE EXPENSES TSII</t>
  </si>
  <si>
    <r>
      <rPr>
        <b/>
        <sz val="12"/>
        <rFont val="Arial"/>
        <family val="34"/>
      </rPr>
      <t>Annexure-XIX</t>
    </r>
  </si>
  <si>
    <r>
      <rPr>
        <b/>
        <sz val="12"/>
        <rFont val="Arial Narrow"/>
        <family val="34"/>
      </rPr>
      <t>Name of the Utility</t>
    </r>
  </si>
  <si>
    <t>Name of the Generating Station  : THERMAL POWER STATION-II</t>
  </si>
  <si>
    <t>Station/ Stage/ Unit : STAGE-I</t>
  </si>
  <si>
    <t>Fuel Type (Coal/ Lignite/ Gas/ Liquid Fuel/ Nuclear/ Hydro  : LIGNITE</t>
  </si>
  <si>
    <t>Capacity of Plant (MW)  : STAGE-I (3X210 MW)</t>
  </si>
  <si>
    <t>COD:  UNIT-1 = 23-04-1988 ;  UNIT-2 =  08-05-1987;   UNIT-3 = 29-09-1986</t>
  </si>
  <si>
    <t>STAGE-1</t>
  </si>
  <si>
    <t>2004-05</t>
  </si>
  <si>
    <t>2005-06</t>
  </si>
  <si>
    <t>2006- 07</t>
  </si>
  <si>
    <t>2007- 08</t>
  </si>
  <si>
    <t>2008- 09</t>
  </si>
  <si>
    <t>2009- 10</t>
  </si>
  <si>
    <t>2010- 11</t>
  </si>
  <si>
    <t>2011- 12</t>
  </si>
  <si>
    <t>2012- 13</t>
  </si>
  <si>
    <t>2013- 14</t>
  </si>
  <si>
    <t>2014- 15</t>
  </si>
  <si>
    <t>2015- 16</t>
  </si>
  <si>
    <t>2016- 17</t>
  </si>
  <si>
    <t>Plant Availability Factor (PAF) (%)</t>
  </si>
  <si>
    <t>Plant Load Factors (PLF) (%)</t>
  </si>
  <si>
    <t>Scheduled Energy (MU)</t>
  </si>
  <si>
    <t>Scheduled Generation (MU)</t>
  </si>
  <si>
    <t>Actual Generation (Export) (MU)</t>
  </si>
  <si>
    <t>Quantum of coal consumption (MT)</t>
  </si>
  <si>
    <t>Value of coal (Rs. Lakh)</t>
  </si>
  <si>
    <t>Specific Coal Consumption (kg/kwh)</t>
  </si>
  <si>
    <t>Gross Calorific Value of Coal (Kcal/ Kg)</t>
  </si>
  <si>
    <t>Heat Contribution of Coal (Kcal/kwh)</t>
  </si>
  <si>
    <t>Cost Of Specific Coal Consumption (Rs./Kwh) – Finally admitted by CERC</t>
  </si>
  <si>
    <t>Quantum of Oil Consumption (KL)</t>
  </si>
  <si>
    <t>Value of Oil (Rs. lakh)</t>
  </si>
  <si>
    <t>Gross calorific value of oil (kcal/lit)</t>
  </si>
  <si>
    <t>Specific Oil Consumption (ml/KwHr)</t>
  </si>
  <si>
    <t>Cost Of Specific Oil Consumption (Rs./Kwh) –Finally admitted by CERC</t>
  </si>
  <si>
    <t>Heat Contribution of Oil (Kcal/kwh)</t>
  </si>
  <si>
    <t>Station Heat Rate (kcal/kwh)</t>
  </si>
  <si>
    <t>Auxiliary Energy Consumption (%)</t>
  </si>
  <si>
    <t>Debt at the end of the year (Rs. Crore)</t>
  </si>
  <si>
    <t>Equity/IR (Rs. Crore)</t>
  </si>
  <si>
    <t>Working Capital (Rs. Crore) – finally admitted by CERC</t>
  </si>
  <si>
    <t>Capital cost (Rs. Crore) – finally admitted by CERC</t>
  </si>
  <si>
    <t>Capacity Charges/ Annual Fixed Cost (AFC)</t>
  </si>
  <si>
    <t>(a) Return on equity – pre tax (admitted by CERC)</t>
  </si>
  <si>
    <t>Absolute value</t>
  </si>
  <si>
    <t>Rate (%)</t>
  </si>
  <si>
    <t>(b) interest on Loan</t>
  </si>
  <si>
    <t>Rate (%) – Weighted Average Rate</t>
  </si>
  <si>
    <t>(c) Depreciation (finally allowed by CERC)</t>
  </si>
  <si>
    <t>(d) Interest on working Capital</t>
  </si>
  <si>
    <t>(e) Operation and maintenance cost (finally admitted by CERC)</t>
  </si>
  <si>
    <t>(f) Compensation Allowances (Rs.Cr.)</t>
  </si>
  <si>
    <t>AFC (Rs. Kwh0</t>
  </si>
  <si>
    <t>Energy Charge (Rs./Kwh)</t>
  </si>
  <si>
    <t>Total tariff (Rs. Kwh)</t>
  </si>
  <si>
    <t>Revenue realisation before tax (Rs. Crore)</t>
  </si>
  <si>
    <t xml:space="preserve"> Revenue   realisation   after   tax
(Rs. Crore)</t>
  </si>
  <si>
    <t>Profit/ loss (Rs. Crore0</t>
  </si>
  <si>
    <t>DSM Generation (MU)</t>
  </si>
  <si>
    <t>DSM Rate (Ps/Kwh)</t>
  </si>
  <si>
    <t>Revenue from DSM (Rs. Crore)</t>
  </si>
  <si>
    <r>
      <rPr>
        <i/>
        <sz val="12"/>
        <rFont val="Arial Narrow"/>
        <family val="34"/>
      </rPr>
      <t>Note: Generating Companies are required to submit data for all generating stations.</t>
    </r>
  </si>
  <si>
    <r>
      <rPr>
        <i/>
        <sz val="12"/>
        <rFont val="Arial Narrow"/>
        <family val="34"/>
      </rPr>
      <t>This is a general format. Plants of different fuel users have to fill the cells as applicable to them. Tariff for the Hydro may be understood as composite tariff.</t>
    </r>
  </si>
  <si>
    <r>
      <rPr>
        <i/>
        <sz val="12"/>
        <rFont val="Arial Narrow"/>
        <family val="34"/>
      </rPr>
      <t>The data provided for the corresponding years need to mention as Actual or provisional.</t>
    </r>
  </si>
  <si>
    <r>
      <rPr>
        <i/>
        <sz val="12"/>
        <rFont val="Arial Narrow"/>
        <family val="34"/>
      </rPr>
      <t>Data for each Unit and Stage is required to be submitted in additional sheets as per the format.</t>
    </r>
  </si>
  <si>
    <t>Station/ Stage/ Unit : STAGE-II</t>
  </si>
  <si>
    <t>Capacity of Plant (MW)  :STAGE-II (4X210 MW)</t>
  </si>
  <si>
    <t>COD: UNIT-4 = 25-01-1992;  UNIT-5 = 02-06-1992;  UNIT-6 = 17-03-1993;  UNIT-7 = 09-04-1994</t>
  </si>
  <si>
    <t>STAGE-2</t>
  </si>
  <si>
    <t>(f) Compensation Allowances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</si>
</sst>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-* #,##0.00_-;\-* #,##0.00_-;_-* &quot;-&quot;??_-;_-@_-"/>
    <numFmt numFmtId="165" formatCode="###0;###0"/>
    <numFmt numFmtId="166" formatCode="###0.0;###0.0"/>
    <numFmt numFmtId="167" formatCode="###0.;###0."/>
    <numFmt numFmtId="168" formatCode="yy\.m\.d;@"/>
    <numFmt numFmtId="169" formatCode="0.0000"/>
    <numFmt numFmtId="170" formatCode="0.000000"/>
    <numFmt numFmtId="171" formatCode="0.000"/>
  </numFmts>
  <fonts count="4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rgb="FF00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u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000000"/>
      <name val="Times New Roman"/>
      <family val="1"/>
    </font>
    <font>
      <b/>
      <sz val="10"/>
      <name val="Arial"/>
      <family val="34"/>
    </font>
    <font>
      <b/>
      <sz val="9"/>
      <name val="Calibri"/>
      <family val="34"/>
    </font>
    <font>
      <b/>
      <sz val="9"/>
      <name val="Century Gothic"/>
      <family val="34"/>
    </font>
    <font>
      <sz val="9"/>
      <name val="Century Gothic"/>
      <family val="34"/>
    </font>
    <font>
      <b/>
      <sz val="8"/>
      <color rgb="FF000000"/>
      <name val="Times New Roman"/>
      <family val="1"/>
    </font>
    <font>
      <b/>
      <sz val="12"/>
      <name val="Arial"/>
      <family val="34"/>
    </font>
    <font>
      <sz val="12"/>
      <name val="Arial"/>
      <family val="34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1"/>
      <name val="Arial"/>
      <family val="34"/>
    </font>
    <font>
      <sz val="11"/>
      <name val="Arial"/>
      <family val="34"/>
    </font>
    <font>
      <sz val="10"/>
      <name val="Arial"/>
      <family val="34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2"/>
      <name val="Arial Narrow"/>
      <family val="34"/>
    </font>
    <font>
      <b/>
      <sz val="12"/>
      <color rgb="FF000000"/>
      <name val="Arial Narrow"/>
      <family val="2"/>
    </font>
    <font>
      <i/>
      <sz val="12"/>
      <name val="Arial Narrow"/>
      <family val="3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430"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8" xfId="0" applyNumberFormat="1" applyFont="1" applyFill="1" applyBorder="1" applyAlignment="1">
      <alignment horizontal="right" vertical="center" wrapText="1"/>
    </xf>
    <xf numFmtId="0" fontId="3" fillId="2" borderId="8" xfId="0" quotePrefix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169" fontId="3" fillId="2" borderId="0" xfId="0" applyNumberFormat="1" applyFont="1" applyFill="1" applyBorder="1" applyAlignment="1">
      <alignment horizontal="left" vertical="center"/>
    </xf>
    <xf numFmtId="1" fontId="0" fillId="0" borderId="0" xfId="0" applyNumberFormat="1"/>
    <xf numFmtId="170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12" fillId="2" borderId="8" xfId="0" applyNumberFormat="1" applyFont="1" applyFill="1" applyBorder="1" applyAlignment="1">
      <alignment horizontal="center" vertical="center"/>
    </xf>
    <xf numFmtId="3" fontId="12" fillId="0" borderId="24" xfId="2" applyNumberFormat="1" applyFont="1" applyFill="1" applyBorder="1" applyAlignment="1">
      <alignment horizontal="center" vertical="center" wrapText="1"/>
    </xf>
    <xf numFmtId="3" fontId="12" fillId="0" borderId="18" xfId="2" applyNumberFormat="1" applyFont="1" applyFill="1" applyBorder="1" applyAlignment="1">
      <alignment horizontal="center" vertical="center" wrapText="1"/>
    </xf>
    <xf numFmtId="3" fontId="12" fillId="0" borderId="8" xfId="2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3" fillId="2" borderId="8" xfId="1" applyFont="1" applyFill="1" applyBorder="1" applyAlignment="1">
      <alignment horizontal="left" vertical="center"/>
    </xf>
    <xf numFmtId="164" fontId="3" fillId="0" borderId="8" xfId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0" fontId="3" fillId="2" borderId="8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1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3" fillId="0" borderId="8" xfId="2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43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2" fontId="12" fillId="2" borderId="1" xfId="2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22" fillId="2" borderId="8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2" fontId="12" fillId="2" borderId="8" xfId="2" applyNumberFormat="1" applyFont="1" applyFill="1" applyBorder="1" applyAlignment="1">
      <alignment horizontal="center" vertical="top" wrapText="1"/>
    </xf>
    <xf numFmtId="2" fontId="12" fillId="2" borderId="2" xfId="2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12" fillId="2" borderId="8" xfId="0" applyNumberFormat="1" applyFont="1" applyFill="1" applyBorder="1" applyAlignment="1">
      <alignment horizontal="center" vertical="top" wrapText="1"/>
    </xf>
    <xf numFmtId="165" fontId="12" fillId="2" borderId="8" xfId="0" applyNumberFormat="1" applyFont="1" applyFill="1" applyBorder="1" applyAlignment="1">
      <alignment horizontal="center" wrapText="1"/>
    </xf>
    <xf numFmtId="165" fontId="12" fillId="2" borderId="8" xfId="0" applyNumberFormat="1" applyFont="1" applyFill="1" applyBorder="1" applyAlignment="1">
      <alignment horizontal="center" vertical="center" wrapText="1"/>
    </xf>
    <xf numFmtId="0" fontId="12" fillId="2" borderId="8" xfId="0" quotePrefix="1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right" vertical="top" wrapText="1"/>
    </xf>
    <xf numFmtId="167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top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0" fillId="2" borderId="8" xfId="0" applyNumberFormat="1" applyFont="1" applyFill="1" applyBorder="1" applyAlignment="1">
      <alignment horizontal="center" vertical="center" wrapText="1"/>
    </xf>
    <xf numFmtId="2" fontId="12" fillId="2" borderId="8" xfId="0" quotePrefix="1" applyNumberFormat="1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horizontal="right" vertical="top" wrapText="1"/>
    </xf>
    <xf numFmtId="2" fontId="31" fillId="2" borderId="8" xfId="0" applyNumberFormat="1" applyFont="1" applyFill="1" applyBorder="1" applyAlignment="1">
      <alignment horizontal="right" vertical="center" wrapText="1"/>
    </xf>
    <xf numFmtId="2" fontId="12" fillId="2" borderId="0" xfId="0" applyNumberFormat="1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/>
    </xf>
    <xf numFmtId="169" fontId="12" fillId="2" borderId="8" xfId="0" applyNumberFormat="1" applyFont="1" applyFill="1" applyBorder="1" applyAlignment="1">
      <alignment horizontal="right" vertical="top"/>
    </xf>
    <xf numFmtId="2" fontId="31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5" fillId="2" borderId="1" xfId="0" applyNumberFormat="1" applyFont="1" applyFill="1" applyBorder="1" applyAlignment="1">
      <alignment horizontal="center" vertical="center" wrapText="1"/>
    </xf>
    <xf numFmtId="165" fontId="35" fillId="2" borderId="4" xfId="0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5" fontId="35" fillId="2" borderId="1" xfId="0" quotePrefix="1" applyNumberFormat="1" applyFont="1" applyFill="1" applyBorder="1" applyAlignment="1">
      <alignment horizontal="center" vertical="center" wrapText="1"/>
    </xf>
    <xf numFmtId="43" fontId="3" fillId="3" borderId="0" xfId="1" applyNumberFormat="1" applyFont="1" applyFill="1" applyBorder="1" applyAlignment="1">
      <alignment horizontal="center" vertical="center"/>
    </xf>
    <xf numFmtId="43" fontId="3" fillId="2" borderId="0" xfId="1" applyNumberFormat="1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43" fontId="3" fillId="2" borderId="8" xfId="1" applyNumberFormat="1" applyFont="1" applyFill="1" applyBorder="1" applyAlignment="1">
      <alignment horizontal="center" vertical="center"/>
    </xf>
    <xf numFmtId="43" fontId="3" fillId="2" borderId="8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43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7" applyFont="1"/>
    <xf numFmtId="0" fontId="1" fillId="0" borderId="0" xfId="7"/>
    <xf numFmtId="0" fontId="2" fillId="2" borderId="0" xfId="2" applyFill="1" applyBorder="1" applyAlignment="1">
      <alignment horizontal="left" vertical="top"/>
    </xf>
    <xf numFmtId="43" fontId="1" fillId="0" borderId="0" xfId="8" applyFont="1"/>
    <xf numFmtId="43" fontId="0" fillId="2" borderId="0" xfId="8" applyFont="1" applyFill="1" applyBorder="1" applyAlignment="1">
      <alignment horizontal="left" vertical="top"/>
    </xf>
    <xf numFmtId="43" fontId="0" fillId="5" borderId="35" xfId="8" applyFont="1" applyFill="1" applyBorder="1"/>
    <xf numFmtId="43" fontId="0" fillId="6" borderId="36" xfId="8" applyFont="1" applyFill="1" applyBorder="1"/>
    <xf numFmtId="43" fontId="0" fillId="5" borderId="37" xfId="8" applyFont="1" applyFill="1" applyBorder="1"/>
    <xf numFmtId="0" fontId="36" fillId="4" borderId="38" xfId="2" applyFont="1" applyFill="1" applyBorder="1"/>
    <xf numFmtId="43" fontId="0" fillId="5" borderId="36" xfId="8" applyFont="1" applyFill="1" applyBorder="1"/>
    <xf numFmtId="43" fontId="0" fillId="6" borderId="35" xfId="8" applyFont="1" applyFill="1" applyBorder="1"/>
    <xf numFmtId="43" fontId="0" fillId="5" borderId="39" xfId="8" applyFont="1" applyFill="1" applyBorder="1"/>
    <xf numFmtId="0" fontId="1" fillId="0" borderId="8" xfId="7" applyBorder="1"/>
    <xf numFmtId="0" fontId="1" fillId="0" borderId="8" xfId="7" applyFont="1" applyBorder="1"/>
    <xf numFmtId="0" fontId="2" fillId="2" borderId="8" xfId="2" applyFill="1" applyBorder="1" applyAlignment="1">
      <alignment horizontal="left" vertical="top"/>
    </xf>
    <xf numFmtId="0" fontId="36" fillId="4" borderId="8" xfId="2" applyFont="1" applyFill="1" applyBorder="1"/>
    <xf numFmtId="43" fontId="36" fillId="4" borderId="8" xfId="8" applyNumberFormat="1" applyFont="1" applyFill="1" applyBorder="1"/>
    <xf numFmtId="43" fontId="0" fillId="5" borderId="8" xfId="8" applyFont="1" applyFill="1" applyBorder="1"/>
    <xf numFmtId="43" fontId="1" fillId="0" borderId="8" xfId="8" applyFont="1" applyBorder="1"/>
    <xf numFmtId="43" fontId="0" fillId="2" borderId="8" xfId="8" applyFont="1" applyFill="1" applyBorder="1" applyAlignment="1">
      <alignment horizontal="left" vertical="top"/>
    </xf>
    <xf numFmtId="43" fontId="0" fillId="6" borderId="8" xfId="8" applyFont="1" applyFill="1" applyBorder="1"/>
    <xf numFmtId="0" fontId="3" fillId="2" borderId="1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1" fontId="12" fillId="0" borderId="9" xfId="1" applyNumberFormat="1" applyFont="1" applyFill="1" applyBorder="1" applyAlignment="1">
      <alignment horizontal="center" vertical="center" wrapText="1"/>
    </xf>
    <xf numFmtId="1" fontId="12" fillId="0" borderId="11" xfId="1" applyNumberFormat="1" applyFont="1" applyFill="1" applyBorder="1" applyAlignment="1">
      <alignment horizontal="center" vertical="center" wrapText="1"/>
    </xf>
    <xf numFmtId="1" fontId="12" fillId="0" borderId="10" xfId="1" applyNumberFormat="1" applyFont="1" applyFill="1" applyBorder="1" applyAlignment="1">
      <alignment horizontal="center" vertical="center" wrapText="1"/>
    </xf>
    <xf numFmtId="1" fontId="12" fillId="0" borderId="9" xfId="1" applyNumberFormat="1" applyFont="1" applyFill="1" applyBorder="1" applyAlignment="1">
      <alignment horizontal="left" vertical="center" wrapText="1"/>
    </xf>
    <xf numFmtId="1" fontId="12" fillId="0" borderId="11" xfId="1" applyNumberFormat="1" applyFont="1" applyFill="1" applyBorder="1" applyAlignment="1">
      <alignment horizontal="left" vertical="center" wrapText="1"/>
    </xf>
    <xf numFmtId="1" fontId="12" fillId="0" borderId="10" xfId="1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3" fillId="0" borderId="21" xfId="1" applyNumberFormat="1" applyFont="1" applyFill="1" applyBorder="1" applyAlignment="1">
      <alignment horizontal="center" vertical="top" wrapText="1"/>
    </xf>
    <xf numFmtId="1" fontId="3" fillId="0" borderId="16" xfId="1" applyNumberFormat="1" applyFont="1" applyFill="1" applyBorder="1" applyAlignment="1">
      <alignment horizontal="center" vertical="top" wrapText="1"/>
    </xf>
    <xf numFmtId="1" fontId="3" fillId="0" borderId="17" xfId="1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left" vertical="center" wrapText="1"/>
    </xf>
    <xf numFmtId="1" fontId="12" fillId="0" borderId="21" xfId="1" applyNumberFormat="1" applyFont="1" applyFill="1" applyBorder="1" applyAlignment="1">
      <alignment horizontal="center" vertical="top" wrapText="1"/>
    </xf>
    <xf numFmtId="1" fontId="12" fillId="0" borderId="16" xfId="1" applyNumberFormat="1" applyFont="1" applyFill="1" applyBorder="1" applyAlignment="1">
      <alignment horizontal="center" vertical="top" wrapText="1"/>
    </xf>
    <xf numFmtId="1" fontId="12" fillId="0" borderId="17" xfId="1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168" fontId="3" fillId="2" borderId="12" xfId="0" applyNumberFormat="1" applyFont="1" applyFill="1" applyBorder="1" applyAlignment="1">
      <alignment horizontal="center" vertical="center" wrapText="1"/>
    </xf>
    <xf numFmtId="168" fontId="3" fillId="2" borderId="25" xfId="0" applyNumberFormat="1" applyFont="1" applyFill="1" applyBorder="1" applyAlignment="1">
      <alignment horizontal="center" vertical="center" wrapText="1"/>
    </xf>
    <xf numFmtId="168" fontId="3" fillId="2" borderId="1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center" vertical="top"/>
    </xf>
    <xf numFmtId="0" fontId="18" fillId="2" borderId="27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26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43" fontId="3" fillId="2" borderId="2" xfId="1" applyNumberFormat="1" applyFont="1" applyFill="1" applyBorder="1" applyAlignment="1">
      <alignment horizontal="center"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5" fillId="2" borderId="2" xfId="0" applyNumberFormat="1" applyFont="1" applyFill="1" applyBorder="1" applyAlignment="1">
      <alignment horizontal="center" vertical="center" wrapText="1"/>
    </xf>
    <xf numFmtId="165" fontId="35" fillId="2" borderId="3" xfId="0" applyNumberFormat="1" applyFont="1" applyFill="1" applyBorder="1" applyAlignment="1">
      <alignment horizontal="center" vertical="center" wrapText="1"/>
    </xf>
    <xf numFmtId="165" fontId="35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2" fillId="2" borderId="5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8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7" fillId="2" borderId="8" xfId="2" applyFont="1" applyFill="1" applyBorder="1" applyAlignment="1">
      <alignment horizontal="center" vertical="top"/>
    </xf>
    <xf numFmtId="165" fontId="12" fillId="2" borderId="8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right" vertical="top" wrapText="1"/>
    </xf>
    <xf numFmtId="0" fontId="12" fillId="2" borderId="26" xfId="0" applyFont="1" applyFill="1" applyBorder="1" applyAlignment="1">
      <alignment horizontal="right" vertical="top" wrapText="1"/>
    </xf>
    <xf numFmtId="0" fontId="12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center" vertical="top" wrapText="1"/>
    </xf>
    <xf numFmtId="0" fontId="12" fillId="2" borderId="11" xfId="2" applyFont="1" applyFill="1" applyBorder="1" applyAlignment="1">
      <alignment horizontal="center" vertical="top" wrapText="1"/>
    </xf>
    <xf numFmtId="0" fontId="12" fillId="2" borderId="10" xfId="2" applyFont="1" applyFill="1" applyBorder="1" applyAlignment="1">
      <alignment horizontal="center" vertical="top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165" fontId="12" fillId="2" borderId="9" xfId="0" applyNumberFormat="1" applyFont="1" applyFill="1" applyBorder="1" applyAlignment="1">
      <alignment horizontal="left" wrapText="1"/>
    </xf>
    <xf numFmtId="165" fontId="12" fillId="2" borderId="11" xfId="0" applyNumberFormat="1" applyFont="1" applyFill="1" applyBorder="1" applyAlignment="1">
      <alignment horizontal="left" wrapText="1"/>
    </xf>
    <xf numFmtId="165" fontId="12" fillId="2" borderId="10" xfId="0" applyNumberFormat="1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right" vertical="top" wrapText="1"/>
    </xf>
    <xf numFmtId="0" fontId="12" fillId="2" borderId="8" xfId="0" applyFont="1" applyFill="1" applyBorder="1" applyAlignment="1">
      <alignment horizontal="right" vertical="top" wrapText="1"/>
    </xf>
    <xf numFmtId="0" fontId="28" fillId="2" borderId="8" xfId="0" applyFont="1" applyFill="1" applyBorder="1" applyAlignment="1">
      <alignment horizontal="center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2" fontId="28" fillId="2" borderId="8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165" fontId="30" fillId="2" borderId="2" xfId="0" applyNumberFormat="1" applyFont="1" applyFill="1" applyBorder="1" applyAlignment="1">
      <alignment horizontal="center" vertical="center" wrapText="1"/>
    </xf>
    <xf numFmtId="165" fontId="30" fillId="2" borderId="3" xfId="0" applyNumberFormat="1" applyFont="1" applyFill="1" applyBorder="1" applyAlignment="1">
      <alignment horizontal="center" vertical="center" wrapText="1"/>
    </xf>
    <xf numFmtId="165" fontId="30" fillId="2" borderId="8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/>
    </xf>
    <xf numFmtId="0" fontId="12" fillId="2" borderId="0" xfId="2" applyFont="1" applyFill="1" applyBorder="1" applyAlignment="1">
      <alignment horizontal="left" vertical="top"/>
    </xf>
    <xf numFmtId="0" fontId="12" fillId="2" borderId="34" xfId="2" applyFont="1" applyFill="1" applyBorder="1" applyAlignment="1">
      <alignment vertical="top"/>
    </xf>
    <xf numFmtId="0" fontId="12" fillId="2" borderId="8" xfId="2" applyFont="1" applyFill="1" applyBorder="1" applyAlignment="1">
      <alignment horizontal="left" vertical="top" wrapText="1"/>
    </xf>
    <xf numFmtId="0" fontId="38" fillId="2" borderId="8" xfId="2" applyFont="1" applyFill="1" applyBorder="1" applyAlignment="1">
      <alignment horizontal="left" vertical="top" wrapText="1"/>
    </xf>
    <xf numFmtId="0" fontId="31" fillId="2" borderId="8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left" vertical="top" wrapText="1"/>
    </xf>
    <xf numFmtId="0" fontId="38" fillId="2" borderId="14" xfId="2" applyFont="1" applyFill="1" applyBorder="1" applyAlignment="1">
      <alignment horizontal="center"/>
    </xf>
    <xf numFmtId="165" fontId="39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2" fontId="12" fillId="2" borderId="1" xfId="2" applyNumberFormat="1" applyFont="1" applyFill="1" applyBorder="1" applyAlignment="1">
      <alignment horizontal="center" vertical="center" wrapText="1"/>
    </xf>
    <xf numFmtId="171" fontId="12" fillId="2" borderId="1" xfId="2" applyNumberFormat="1" applyFont="1" applyFill="1" applyBorder="1" applyAlignment="1">
      <alignment horizontal="center" vertical="center" wrapText="1"/>
    </xf>
    <xf numFmtId="171" fontId="12" fillId="2" borderId="0" xfId="2" applyNumberFormat="1" applyFont="1" applyFill="1" applyBorder="1" applyAlignment="1">
      <alignment horizontal="left" vertical="top"/>
    </xf>
    <xf numFmtId="0" fontId="38" fillId="2" borderId="1" xfId="2" applyFont="1" applyFill="1" applyBorder="1" applyAlignment="1">
      <alignment horizontal="left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171" fontId="12" fillId="0" borderId="1" xfId="2" applyNumberFormat="1" applyFont="1" applyFill="1" applyBorder="1" applyAlignment="1">
      <alignment horizontal="center" vertical="center" wrapText="1"/>
    </xf>
    <xf numFmtId="171" fontId="17" fillId="2" borderId="0" xfId="2" applyNumberFormat="1" applyFont="1" applyFill="1" applyBorder="1" applyAlignment="1">
      <alignment horizontal="left" vertical="top"/>
    </xf>
    <xf numFmtId="0" fontId="17" fillId="2" borderId="0" xfId="2" applyFont="1" applyFill="1" applyBorder="1" applyAlignment="1">
      <alignment horizontal="left" vertical="top"/>
    </xf>
    <xf numFmtId="0" fontId="12" fillId="2" borderId="34" xfId="2" applyFont="1" applyFill="1" applyBorder="1" applyAlignment="1">
      <alignment horizontal="left" vertical="top"/>
    </xf>
    <xf numFmtId="0" fontId="38" fillId="2" borderId="14" xfId="2" applyFont="1" applyFill="1" applyBorder="1" applyAlignment="1">
      <alignment horizontal="center" vertical="center"/>
    </xf>
    <xf numFmtId="165" fontId="39" fillId="2" borderId="1" xfId="2" applyNumberFormat="1" applyFont="1" applyFill="1" applyBorder="1" applyAlignment="1">
      <alignment horizontal="left" vertical="center" wrapText="1"/>
    </xf>
  </cellXfs>
  <cellStyles count="9">
    <cellStyle name="Comma" xfId="1" builtinId="3"/>
    <cellStyle name="Comma 2" xfId="3"/>
    <cellStyle name="Comma 3" xfId="8"/>
    <cellStyle name="Normal" xfId="0" builtinId="0"/>
    <cellStyle name="Normal 2" xfId="2"/>
    <cellStyle name="Normal 2 2" xfId="5"/>
    <cellStyle name="Normal 2 3" xfId="7"/>
    <cellStyle name="Normal 3" xfId="4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reports\Consolidated\ABT%20MDF\ABTMDF12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n\Consolidated\ABTMDF0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00%20-%20DRAFT%20REGULATIONS%20&amp;%20DISCUSSION%20PAPERS\1116-information%20to%20CERC%20for%20tariff%20from%201.4.2019\Tariff%20data%2022.12.2017\NLC%20TPS%20II\3.Annexure%20_V%20C-TPS%20II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D/2019-24%20TARIFF%20DISCUSSION/form%20vi%20a%20wo%20lhs/TPS-II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8.13\Public\1100%20-%20DRAFT%20REGULATIONS%20&amp;%20DISCUSSION%20PAPERS\1116-information%20to%20CERC%20for%20tariff%20from%201.4.2019\Raghu%20Finalised%2015122017\TS%20II\Forms%20Final\TPS_II_Data%2006122017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it"/>
      <sheetName val="1213"/>
    </sheetNames>
    <sheetDataSet>
      <sheetData sheetId="0">
        <row r="4">
          <cell r="C4" t="str">
            <v>Month</v>
          </cell>
        </row>
        <row r="5">
          <cell r="C5" t="str">
            <v>Apr</v>
          </cell>
        </row>
        <row r="6">
          <cell r="C6" t="str">
            <v>May</v>
          </cell>
        </row>
        <row r="7">
          <cell r="C7" t="str">
            <v>Jun</v>
          </cell>
        </row>
        <row r="8">
          <cell r="C8" t="str">
            <v>Jul</v>
          </cell>
        </row>
        <row r="9">
          <cell r="C9" t="str">
            <v>Aug</v>
          </cell>
        </row>
        <row r="10">
          <cell r="C10" t="str">
            <v>Sep</v>
          </cell>
        </row>
        <row r="11">
          <cell r="C11" t="str">
            <v>Oct</v>
          </cell>
        </row>
        <row r="12">
          <cell r="C12" t="str">
            <v>Nov</v>
          </cell>
        </row>
        <row r="13">
          <cell r="C13" t="str">
            <v>Dec</v>
          </cell>
        </row>
        <row r="14">
          <cell r="C14" t="str">
            <v>Jan</v>
          </cell>
        </row>
        <row r="15">
          <cell r="C15" t="str">
            <v>Feb</v>
          </cell>
        </row>
        <row r="16">
          <cell r="C16" t="str">
            <v>Mar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RIT"/>
      <sheetName val="METER"/>
      <sheetName val="DC"/>
      <sheetName val="WTENT"/>
      <sheetName val="SCH"/>
      <sheetName val="TRADE"/>
      <sheetName val="Incentive"/>
      <sheetName val="UI"/>
      <sheetName val="MINES"/>
      <sheetName val="wt.ent1"/>
      <sheetName val="Wt.ent2"/>
    </sheetNames>
    <sheetDataSet>
      <sheetData sheetId="0">
        <row r="5">
          <cell r="B5" t="str">
            <v>Month</v>
          </cell>
        </row>
        <row r="6">
          <cell r="B6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ge I"/>
      <sheetName val="Stage II"/>
      <sheetName val="Combined"/>
    </sheetNames>
    <sheetDataSet>
      <sheetData sheetId="0">
        <row r="9">
          <cell r="B9">
            <v>4.8</v>
          </cell>
          <cell r="C9">
            <v>409.5</v>
          </cell>
          <cell r="D9">
            <v>0</v>
          </cell>
          <cell r="F9">
            <v>4.8</v>
          </cell>
          <cell r="H9">
            <v>409.5</v>
          </cell>
          <cell r="J9">
            <v>0</v>
          </cell>
          <cell r="M9">
            <v>4285.3599999999997</v>
          </cell>
        </row>
        <row r="10">
          <cell r="B10">
            <v>0</v>
          </cell>
          <cell r="C10">
            <v>409.5</v>
          </cell>
          <cell r="D10">
            <v>0</v>
          </cell>
          <cell r="F10">
            <v>0</v>
          </cell>
          <cell r="H10">
            <v>409.5</v>
          </cell>
          <cell r="J10">
            <v>0</v>
          </cell>
          <cell r="M10">
            <v>718.2</v>
          </cell>
        </row>
        <row r="11">
          <cell r="B11">
            <v>34.32</v>
          </cell>
          <cell r="C11">
            <v>409.5</v>
          </cell>
          <cell r="D11">
            <v>0</v>
          </cell>
          <cell r="F11">
            <v>34.32</v>
          </cell>
          <cell r="H11">
            <v>409.5</v>
          </cell>
          <cell r="J11">
            <v>0</v>
          </cell>
          <cell r="M11">
            <v>2245.9299999999998</v>
          </cell>
        </row>
        <row r="12">
          <cell r="B12">
            <v>0</v>
          </cell>
          <cell r="C12">
            <v>273</v>
          </cell>
          <cell r="D12">
            <v>1240.68</v>
          </cell>
          <cell r="F12">
            <v>0</v>
          </cell>
          <cell r="H12">
            <v>273</v>
          </cell>
          <cell r="J12">
            <v>1240.68</v>
          </cell>
          <cell r="M12">
            <v>2031.74</v>
          </cell>
        </row>
        <row r="13">
          <cell r="B13">
            <v>0</v>
          </cell>
          <cell r="C13">
            <v>136.5</v>
          </cell>
          <cell r="D13">
            <v>2623.3</v>
          </cell>
          <cell r="F13">
            <v>0</v>
          </cell>
          <cell r="H13">
            <v>136.5</v>
          </cell>
          <cell r="J13">
            <v>2623.3</v>
          </cell>
          <cell r="M13">
            <v>5641.64</v>
          </cell>
        </row>
        <row r="14">
          <cell r="D14">
            <v>4365</v>
          </cell>
        </row>
        <row r="15">
          <cell r="D15">
            <v>4642</v>
          </cell>
        </row>
        <row r="16">
          <cell r="D16">
            <v>4937</v>
          </cell>
        </row>
      </sheetData>
      <sheetData sheetId="1">
        <row r="9">
          <cell r="B9">
            <v>6.4</v>
          </cell>
          <cell r="C9">
            <v>252</v>
          </cell>
          <cell r="D9">
            <v>0</v>
          </cell>
          <cell r="F9">
            <v>6.4</v>
          </cell>
          <cell r="H9">
            <v>252</v>
          </cell>
          <cell r="J9">
            <v>0</v>
          </cell>
          <cell r="L9">
            <v>115</v>
          </cell>
        </row>
        <row r="10">
          <cell r="B10">
            <v>0</v>
          </cell>
          <cell r="C10">
            <v>294</v>
          </cell>
          <cell r="D10">
            <v>0</v>
          </cell>
          <cell r="H10">
            <v>294</v>
          </cell>
          <cell r="J10">
            <v>0</v>
          </cell>
          <cell r="L10">
            <v>0</v>
          </cell>
        </row>
        <row r="11">
          <cell r="B11">
            <v>85.51</v>
          </cell>
          <cell r="C11">
            <v>294</v>
          </cell>
          <cell r="D11">
            <v>0</v>
          </cell>
          <cell r="F11">
            <v>85.51</v>
          </cell>
          <cell r="H11">
            <v>294</v>
          </cell>
          <cell r="J11">
            <v>0</v>
          </cell>
          <cell r="L11">
            <v>100</v>
          </cell>
        </row>
        <row r="12">
          <cell r="B12">
            <v>0</v>
          </cell>
          <cell r="C12">
            <v>357</v>
          </cell>
          <cell r="D12">
            <v>0</v>
          </cell>
          <cell r="H12">
            <v>357</v>
          </cell>
          <cell r="J12">
            <v>0</v>
          </cell>
          <cell r="L12">
            <v>0</v>
          </cell>
        </row>
        <row r="13">
          <cell r="B13">
            <v>0</v>
          </cell>
          <cell r="C13">
            <v>483</v>
          </cell>
          <cell r="D13">
            <v>0</v>
          </cell>
          <cell r="H13">
            <v>483</v>
          </cell>
          <cell r="J13">
            <v>0</v>
          </cell>
          <cell r="L13">
            <v>0</v>
          </cell>
        </row>
        <row r="14">
          <cell r="C14">
            <v>735</v>
          </cell>
          <cell r="D14">
            <v>0</v>
          </cell>
        </row>
        <row r="15">
          <cell r="C15">
            <v>840</v>
          </cell>
          <cell r="D15">
            <v>0</v>
          </cell>
        </row>
        <row r="16">
          <cell r="C16">
            <v>840</v>
          </cell>
          <cell r="D16">
            <v>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Sheet1"/>
    </sheetNames>
    <sheetDataSet>
      <sheetData sheetId="0">
        <row r="13">
          <cell r="H13">
            <v>102.41907999999999</v>
          </cell>
          <cell r="I13">
            <v>103.25189</v>
          </cell>
          <cell r="J13">
            <v>110.00919500000001</v>
          </cell>
          <cell r="K13">
            <v>107.19805000000001</v>
          </cell>
          <cell r="L13">
            <v>89.633700000000005</v>
          </cell>
        </row>
        <row r="27">
          <cell r="H27">
            <v>63.598474999999993</v>
          </cell>
          <cell r="I27">
            <v>65.956725000000006</v>
          </cell>
          <cell r="J27">
            <v>59.629934999999989</v>
          </cell>
          <cell r="K27">
            <v>69.871509100000011</v>
          </cell>
          <cell r="L27">
            <v>39.135618800000003</v>
          </cell>
        </row>
      </sheetData>
      <sheetData sheetId="1">
        <row r="6">
          <cell r="B6" t="str">
            <v>Stores &amp; Spares</v>
          </cell>
          <cell r="C6">
            <v>3667.4329078000001</v>
          </cell>
          <cell r="D6">
            <v>3700.4656987999992</v>
          </cell>
          <cell r="E6">
            <v>2762.0691889</v>
          </cell>
          <cell r="F6">
            <v>2974.1652697999998</v>
          </cell>
          <cell r="G6">
            <v>4345.0281652000003</v>
          </cell>
        </row>
        <row r="7">
          <cell r="B7" t="str">
            <v>Remuneration &amp; Benefits</v>
          </cell>
        </row>
        <row r="8">
          <cell r="B8" t="str">
            <v>Outside Services</v>
          </cell>
          <cell r="C8">
            <v>3245.1724399999998</v>
          </cell>
          <cell r="D8">
            <v>3454.8671800000002</v>
          </cell>
          <cell r="E8">
            <v>3538.9520381800003</v>
          </cell>
          <cell r="F8">
            <v>3912.5662400000001</v>
          </cell>
          <cell r="G8">
            <v>4635.5355663</v>
          </cell>
        </row>
        <row r="9">
          <cell r="B9" t="str">
            <v>Internal Services</v>
          </cell>
        </row>
        <row r="10">
          <cell r="B10" t="str">
            <v>Common Charges</v>
          </cell>
          <cell r="C10">
            <v>7582.3651024000001</v>
          </cell>
          <cell r="D10">
            <v>9759.7616519000003</v>
          </cell>
          <cell r="E10">
            <v>9822.1775980999992</v>
          </cell>
          <cell r="F10">
            <v>10581.6118525</v>
          </cell>
          <cell r="G10">
            <v>9788.2674324000018</v>
          </cell>
        </row>
        <row r="11">
          <cell r="B11" t="str">
            <v>Other Expenditure</v>
          </cell>
          <cell r="C11">
            <v>338.80061500000028</v>
          </cell>
          <cell r="D11">
            <v>346.69611500000019</v>
          </cell>
          <cell r="E11">
            <v>337.31416629999995</v>
          </cell>
          <cell r="F11">
            <v>403.87</v>
          </cell>
          <cell r="G11">
            <v>406.41390660000008</v>
          </cell>
        </row>
        <row r="13">
          <cell r="B13" t="str">
            <v>Recovery -Others</v>
          </cell>
          <cell r="C13">
            <v>104.79431779999999</v>
          </cell>
          <cell r="D13">
            <v>32.757438000000008</v>
          </cell>
          <cell r="E13">
            <v>12.665506000000001</v>
          </cell>
          <cell r="F13">
            <v>14.115534800000002</v>
          </cell>
          <cell r="G13">
            <v>4961.1665707000002</v>
          </cell>
        </row>
        <row r="15">
          <cell r="G15">
            <v>-4922.1161000000002</v>
          </cell>
        </row>
        <row r="28">
          <cell r="C28">
            <v>248.842952</v>
          </cell>
          <cell r="D28">
            <v>244.68116400000002</v>
          </cell>
          <cell r="E28">
            <v>319.96022591999997</v>
          </cell>
          <cell r="F28">
            <v>321.99861400000003</v>
          </cell>
          <cell r="G28">
            <v>321.15775399999995</v>
          </cell>
        </row>
        <row r="29">
          <cell r="C29">
            <v>2851.6151411999999</v>
          </cell>
          <cell r="D29">
            <v>3334.3484804000004</v>
          </cell>
          <cell r="E29">
            <v>3603.1799422999993</v>
          </cell>
          <cell r="F29">
            <v>2024.0214622999999</v>
          </cell>
          <cell r="G29">
            <v>2260.7276094999997</v>
          </cell>
        </row>
        <row r="38">
          <cell r="C38">
            <v>680.37720999999999</v>
          </cell>
          <cell r="D38">
            <v>854.30562829999997</v>
          </cell>
          <cell r="E38">
            <v>966.89983629999995</v>
          </cell>
          <cell r="F38">
            <v>872.08372700000007</v>
          </cell>
          <cell r="G38">
            <v>1041.82176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I"/>
      <sheetName val="Annexure IV"/>
      <sheetName val="Annexure V(C)"/>
      <sheetName val="Annexure VI(A) from ac"/>
      <sheetName val="Annexure VI(A)"/>
      <sheetName val="Annexure VI(C)"/>
      <sheetName val="Annexure VI(D)"/>
      <sheetName val="Annexure XIX"/>
      <sheetName val="Annexure I Notes"/>
    </sheetNames>
    <sheetDataSet>
      <sheetData sheetId="0"/>
      <sheetData sheetId="1"/>
      <sheetData sheetId="2"/>
      <sheetData sheetId="3"/>
      <sheetData sheetId="4"/>
      <sheetData sheetId="5">
        <row r="17">
          <cell r="O17">
            <v>36530113.714000002</v>
          </cell>
          <cell r="P17">
            <v>35034553.142999999</v>
          </cell>
          <cell r="Q17">
            <v>34791674.285999998</v>
          </cell>
          <cell r="R17">
            <v>33454301.714000002</v>
          </cell>
          <cell r="S17">
            <v>35282635.428999998</v>
          </cell>
        </row>
        <row r="18">
          <cell r="O18">
            <v>28157707.067000002</v>
          </cell>
          <cell r="P18">
            <v>27683438.195</v>
          </cell>
          <cell r="Q18">
            <v>39464338.285999998</v>
          </cell>
          <cell r="R18">
            <v>40186800</v>
          </cell>
          <cell r="S18">
            <v>39651657.142999999</v>
          </cell>
        </row>
        <row r="19">
          <cell r="O19">
            <v>107</v>
          </cell>
          <cell r="P19">
            <v>105.197</v>
          </cell>
          <cell r="Q19">
            <v>148.386</v>
          </cell>
          <cell r="R19">
            <v>151.102</v>
          </cell>
          <cell r="S19">
            <v>149.09</v>
          </cell>
        </row>
        <row r="20">
          <cell r="O20">
            <v>35.195999999999998</v>
          </cell>
          <cell r="P20">
            <v>34.619999999999997</v>
          </cell>
          <cell r="Q20">
            <v>34.448999999999998</v>
          </cell>
          <cell r="R20">
            <v>32.896000000000001</v>
          </cell>
          <cell r="S20">
            <v>34.429000000000002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317@" TargetMode="External"/><Relationship Id="rId3" Type="http://schemas.openxmlformats.org/officeDocument/2006/relationships/hyperlink" Target="mailto:317@" TargetMode="External"/><Relationship Id="rId7" Type="http://schemas.openxmlformats.org/officeDocument/2006/relationships/hyperlink" Target="mailto:317@" TargetMode="External"/><Relationship Id="rId2" Type="http://schemas.openxmlformats.org/officeDocument/2006/relationships/hyperlink" Target="mailto:317@" TargetMode="External"/><Relationship Id="rId1" Type="http://schemas.openxmlformats.org/officeDocument/2006/relationships/hyperlink" Target="mailto:317@" TargetMode="External"/><Relationship Id="rId6" Type="http://schemas.openxmlformats.org/officeDocument/2006/relationships/hyperlink" Target="mailto:317@" TargetMode="External"/><Relationship Id="rId5" Type="http://schemas.openxmlformats.org/officeDocument/2006/relationships/hyperlink" Target="mailto:317@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317@" TargetMode="External"/><Relationship Id="rId9" Type="http://schemas.openxmlformats.org/officeDocument/2006/relationships/hyperlink" Target="mailto:317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317@" TargetMode="External"/><Relationship Id="rId1" Type="http://schemas.openxmlformats.org/officeDocument/2006/relationships/hyperlink" Target="mailto:317@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5"/>
  <sheetViews>
    <sheetView topLeftCell="A40" workbookViewId="0">
      <selection activeCell="K7" sqref="K7"/>
    </sheetView>
  </sheetViews>
  <sheetFormatPr defaultColWidth="8.83203125" defaultRowHeight="15"/>
  <cols>
    <col min="1" max="1" width="6" style="45" customWidth="1"/>
    <col min="2" max="2" width="40.6640625" style="1" customWidth="1"/>
    <col min="3" max="3" width="9" style="1" customWidth="1"/>
    <col min="4" max="8" width="12.83203125" style="1" customWidth="1"/>
    <col min="9" max="9" width="21.83203125" style="1" hidden="1" customWidth="1"/>
    <col min="10" max="10" width="12.6640625" style="1" bestFit="1" customWidth="1"/>
    <col min="11" max="11" width="11.5" style="1" bestFit="1" customWidth="1"/>
    <col min="12" max="12" width="8.83203125" style="1"/>
    <col min="13" max="16" width="11.1640625" style="1" bestFit="1" customWidth="1"/>
    <col min="17" max="17" width="12.33203125" style="1" bestFit="1" customWidth="1"/>
    <col min="18" max="16384" width="8.83203125" style="1"/>
  </cols>
  <sheetData>
    <row r="1" spans="1:10">
      <c r="G1" s="1" t="s">
        <v>38</v>
      </c>
    </row>
    <row r="2" spans="1:10" ht="29.25" customHeight="1">
      <c r="A2" s="249" t="s">
        <v>0</v>
      </c>
      <c r="B2" s="250"/>
      <c r="C2" s="250"/>
      <c r="D2" s="250"/>
      <c r="E2" s="250"/>
      <c r="F2" s="250"/>
      <c r="G2" s="250"/>
      <c r="H2" s="250"/>
    </row>
    <row r="3" spans="1:10" ht="13.9" customHeight="1">
      <c r="A3" s="46"/>
      <c r="B3" s="4" t="s">
        <v>39</v>
      </c>
      <c r="C3" s="62" t="s">
        <v>40</v>
      </c>
      <c r="D3" s="69" t="s">
        <v>41</v>
      </c>
      <c r="E3" s="69" t="s">
        <v>42</v>
      </c>
      <c r="F3" s="69" t="s">
        <v>43</v>
      </c>
      <c r="G3" s="69" t="s">
        <v>44</v>
      </c>
      <c r="H3" s="69" t="s">
        <v>45</v>
      </c>
      <c r="I3" s="16" t="s">
        <v>29</v>
      </c>
    </row>
    <row r="4" spans="1:10" ht="12.75" customHeight="1">
      <c r="A4" s="74">
        <v>1</v>
      </c>
      <c r="B4" s="68" t="s">
        <v>46</v>
      </c>
      <c r="C4" s="69"/>
      <c r="D4" s="254" t="s">
        <v>199</v>
      </c>
      <c r="E4" s="255"/>
      <c r="F4" s="255"/>
      <c r="G4" s="255"/>
      <c r="H4" s="256"/>
    </row>
    <row r="5" spans="1:10" ht="30.75" customHeight="1">
      <c r="A5" s="74">
        <v>2</v>
      </c>
      <c r="B5" s="70" t="s">
        <v>158</v>
      </c>
      <c r="C5" s="69"/>
      <c r="D5" s="254" t="s">
        <v>220</v>
      </c>
      <c r="E5" s="255"/>
      <c r="F5" s="255"/>
      <c r="G5" s="255"/>
      <c r="H5" s="256"/>
    </row>
    <row r="6" spans="1:10" ht="24" customHeight="1">
      <c r="A6" s="74">
        <v>3</v>
      </c>
      <c r="B6" s="90" t="s">
        <v>47</v>
      </c>
      <c r="C6" s="69" t="s">
        <v>48</v>
      </c>
      <c r="D6" s="257" t="s">
        <v>221</v>
      </c>
      <c r="E6" s="258"/>
      <c r="F6" s="258"/>
      <c r="G6" s="258"/>
      <c r="H6" s="259"/>
    </row>
    <row r="7" spans="1:10" ht="125.25" customHeight="1">
      <c r="A7" s="74">
        <v>4</v>
      </c>
      <c r="B7" s="90" t="s">
        <v>49</v>
      </c>
      <c r="C7" s="69"/>
      <c r="D7" s="260" t="s">
        <v>225</v>
      </c>
      <c r="E7" s="261"/>
      <c r="F7" s="261"/>
      <c r="G7" s="261"/>
      <c r="H7" s="262"/>
    </row>
    <row r="8" spans="1:10" ht="15.75" customHeight="1">
      <c r="A8" s="74">
        <v>5</v>
      </c>
      <c r="B8" s="90" t="s">
        <v>50</v>
      </c>
      <c r="C8" s="69"/>
      <c r="D8" s="269" t="s">
        <v>2</v>
      </c>
      <c r="E8" s="270"/>
      <c r="F8" s="270"/>
      <c r="G8" s="270"/>
      <c r="H8" s="271"/>
    </row>
    <row r="9" spans="1:10" ht="15" customHeight="1">
      <c r="A9" s="74">
        <v>6</v>
      </c>
      <c r="B9" s="90" t="s">
        <v>51</v>
      </c>
      <c r="C9" s="69"/>
      <c r="D9" s="269" t="s">
        <v>200</v>
      </c>
      <c r="E9" s="270"/>
      <c r="F9" s="270"/>
      <c r="G9" s="270"/>
      <c r="H9" s="271"/>
    </row>
    <row r="10" spans="1:10" ht="15.75" customHeight="1">
      <c r="A10" s="74">
        <v>7</v>
      </c>
      <c r="B10" s="90" t="s">
        <v>52</v>
      </c>
      <c r="C10" s="72"/>
      <c r="D10" s="263" t="s">
        <v>201</v>
      </c>
      <c r="E10" s="264"/>
      <c r="F10" s="264"/>
      <c r="G10" s="264"/>
      <c r="H10" s="265"/>
      <c r="I10" s="16"/>
    </row>
    <row r="11" spans="1:10" ht="12.75" customHeight="1">
      <c r="A11" s="74">
        <v>8</v>
      </c>
      <c r="B11" s="90" t="s">
        <v>53</v>
      </c>
      <c r="C11" s="7"/>
      <c r="D11" s="266"/>
      <c r="E11" s="267"/>
      <c r="F11" s="267"/>
      <c r="G11" s="267"/>
      <c r="H11" s="268"/>
      <c r="I11" s="16"/>
    </row>
    <row r="12" spans="1:10" ht="13.5" customHeight="1">
      <c r="A12" s="75">
        <v>8.1</v>
      </c>
      <c r="B12" s="83" t="s">
        <v>54</v>
      </c>
      <c r="C12" s="48"/>
      <c r="D12" s="263" t="s">
        <v>1</v>
      </c>
      <c r="E12" s="264"/>
      <c r="F12" s="264"/>
      <c r="G12" s="264"/>
      <c r="H12" s="265"/>
      <c r="I12" s="17"/>
    </row>
    <row r="13" spans="1:10" ht="30.75" customHeight="1">
      <c r="A13" s="30" t="s">
        <v>55</v>
      </c>
      <c r="B13" s="32" t="s">
        <v>213</v>
      </c>
      <c r="C13" s="20" t="s">
        <v>222</v>
      </c>
      <c r="D13" s="225" t="s">
        <v>223</v>
      </c>
      <c r="E13" s="226"/>
      <c r="F13" s="226"/>
      <c r="G13" s="226"/>
      <c r="H13" s="227"/>
      <c r="I13" s="67" t="s">
        <v>30</v>
      </c>
      <c r="J13" s="2"/>
    </row>
    <row r="14" spans="1:10" ht="47.25" customHeight="1">
      <c r="A14" s="76" t="s">
        <v>57</v>
      </c>
      <c r="B14" s="80" t="s">
        <v>212</v>
      </c>
      <c r="C14" s="72"/>
      <c r="D14" s="228" t="s">
        <v>211</v>
      </c>
      <c r="E14" s="229"/>
      <c r="F14" s="229"/>
      <c r="G14" s="229"/>
      <c r="H14" s="230"/>
      <c r="I14" s="18"/>
    </row>
    <row r="15" spans="1:10" ht="13.9" customHeight="1">
      <c r="A15" s="77" t="s">
        <v>196</v>
      </c>
      <c r="B15" s="81" t="s">
        <v>214</v>
      </c>
      <c r="C15" s="7" t="s">
        <v>56</v>
      </c>
      <c r="D15" s="251"/>
      <c r="E15" s="252"/>
      <c r="F15" s="252"/>
      <c r="G15" s="252"/>
      <c r="H15" s="253"/>
      <c r="I15" s="16"/>
    </row>
    <row r="16" spans="1:10" ht="13.9" customHeight="1">
      <c r="A16" s="77" t="s">
        <v>196</v>
      </c>
      <c r="B16" s="81" t="s">
        <v>215</v>
      </c>
      <c r="C16" s="7" t="s">
        <v>56</v>
      </c>
      <c r="D16" s="251"/>
      <c r="E16" s="252"/>
      <c r="F16" s="252"/>
      <c r="G16" s="252"/>
      <c r="H16" s="253"/>
      <c r="I16" s="16"/>
    </row>
    <row r="17" spans="1:9" ht="13.9" customHeight="1">
      <c r="A17" s="77" t="s">
        <v>196</v>
      </c>
      <c r="B17" s="81" t="s">
        <v>216</v>
      </c>
      <c r="C17" s="7" t="s">
        <v>56</v>
      </c>
      <c r="D17" s="251"/>
      <c r="E17" s="252"/>
      <c r="F17" s="252"/>
      <c r="G17" s="252"/>
      <c r="H17" s="253"/>
      <c r="I17" s="16"/>
    </row>
    <row r="18" spans="1:9" ht="33.75" customHeight="1">
      <c r="A18" s="47" t="s">
        <v>58</v>
      </c>
      <c r="B18" s="82" t="s">
        <v>159</v>
      </c>
      <c r="C18" s="7" t="s">
        <v>59</v>
      </c>
      <c r="D18" s="228" t="s">
        <v>202</v>
      </c>
      <c r="E18" s="229"/>
      <c r="F18" s="229"/>
      <c r="G18" s="229"/>
      <c r="H18" s="230"/>
      <c r="I18" s="16"/>
    </row>
    <row r="19" spans="1:9" ht="28.5" customHeight="1">
      <c r="A19" s="47" t="s">
        <v>60</v>
      </c>
      <c r="B19" s="82" t="s">
        <v>224</v>
      </c>
      <c r="C19" s="7"/>
      <c r="D19" s="225" t="s">
        <v>5</v>
      </c>
      <c r="E19" s="226"/>
      <c r="F19" s="226"/>
      <c r="G19" s="226"/>
      <c r="H19" s="227"/>
      <c r="I19" s="16"/>
    </row>
    <row r="20" spans="1:9" ht="30.75" customHeight="1">
      <c r="A20" s="47" t="s">
        <v>61</v>
      </c>
      <c r="B20" s="90" t="s">
        <v>62</v>
      </c>
      <c r="C20" s="42" t="s">
        <v>184</v>
      </c>
      <c r="D20" s="225" t="s">
        <v>219</v>
      </c>
      <c r="E20" s="226"/>
      <c r="F20" s="226"/>
      <c r="G20" s="226"/>
      <c r="H20" s="227"/>
      <c r="I20" s="16"/>
    </row>
    <row r="21" spans="1:9" ht="24" customHeight="1">
      <c r="A21" s="47" t="s">
        <v>63</v>
      </c>
      <c r="B21" s="92" t="s">
        <v>22</v>
      </c>
      <c r="C21" s="7"/>
      <c r="D21" s="84">
        <v>203485.29642857198</v>
      </c>
      <c r="E21" s="84">
        <v>159973.92857142855</v>
      </c>
      <c r="F21" s="84">
        <v>452191.36069324258</v>
      </c>
      <c r="G21" s="84">
        <v>529175.75005821395</v>
      </c>
      <c r="H21" s="84">
        <v>925336.58819267468</v>
      </c>
      <c r="I21" s="222" t="s">
        <v>31</v>
      </c>
    </row>
    <row r="22" spans="1:9" ht="22.5" customHeight="1">
      <c r="A22" s="47" t="s">
        <v>64</v>
      </c>
      <c r="B22" s="90" t="s">
        <v>65</v>
      </c>
      <c r="C22" s="7"/>
      <c r="D22" s="85">
        <f>70782</f>
        <v>70782</v>
      </c>
      <c r="E22" s="86">
        <f>72312</f>
        <v>72312</v>
      </c>
      <c r="F22" s="86">
        <f>68423</f>
        <v>68423</v>
      </c>
      <c r="G22" s="86">
        <f>69737</f>
        <v>69737</v>
      </c>
      <c r="H22" s="87">
        <f>69461</f>
        <v>69461</v>
      </c>
      <c r="I22" s="223"/>
    </row>
    <row r="23" spans="1:9" ht="22.5" customHeight="1">
      <c r="A23" s="47" t="s">
        <v>66</v>
      </c>
      <c r="B23" s="90" t="s">
        <v>67</v>
      </c>
      <c r="C23" s="7"/>
      <c r="D23" s="85">
        <v>137133.64821428599</v>
      </c>
      <c r="E23" s="85">
        <v>116142.96428571428</v>
      </c>
      <c r="F23" s="85">
        <v>260307.18034662129</v>
      </c>
      <c r="G23" s="85">
        <v>299456.37502910697</v>
      </c>
      <c r="H23" s="87">
        <v>497398.79409633734</v>
      </c>
      <c r="I23" s="224"/>
    </row>
    <row r="24" spans="1:9" ht="13.9" customHeight="1">
      <c r="A24" s="78">
        <v>8.1999999999999993</v>
      </c>
      <c r="B24" s="90" t="s">
        <v>68</v>
      </c>
      <c r="C24" s="7"/>
      <c r="D24" s="272" t="s">
        <v>6</v>
      </c>
      <c r="E24" s="273"/>
      <c r="F24" s="273"/>
      <c r="G24" s="273"/>
      <c r="H24" s="274"/>
      <c r="I24" s="16"/>
    </row>
    <row r="25" spans="1:9" ht="15.6" customHeight="1">
      <c r="A25" s="47" t="s">
        <v>69</v>
      </c>
      <c r="B25" s="92" t="s">
        <v>169</v>
      </c>
      <c r="C25" s="8" t="s">
        <v>170</v>
      </c>
      <c r="D25" s="246" t="s">
        <v>207</v>
      </c>
      <c r="E25" s="247"/>
      <c r="F25" s="247"/>
      <c r="G25" s="247"/>
      <c r="H25" s="248"/>
      <c r="I25" s="19" t="s">
        <v>32</v>
      </c>
    </row>
    <row r="26" spans="1:9" ht="16.899999999999999" customHeight="1">
      <c r="A26" s="47" t="s">
        <v>70</v>
      </c>
      <c r="B26" s="90" t="s">
        <v>71</v>
      </c>
      <c r="C26" s="7"/>
      <c r="D26" s="237" t="s">
        <v>203</v>
      </c>
      <c r="E26" s="238"/>
      <c r="F26" s="238"/>
      <c r="G26" s="238"/>
      <c r="H26" s="239"/>
      <c r="I26" s="16"/>
    </row>
    <row r="27" spans="1:9" ht="30" customHeight="1">
      <c r="A27" s="47" t="s">
        <v>72</v>
      </c>
      <c r="B27" s="92" t="s">
        <v>159</v>
      </c>
      <c r="C27" s="8" t="s">
        <v>185</v>
      </c>
      <c r="D27" s="243" t="s">
        <v>204</v>
      </c>
      <c r="E27" s="244"/>
      <c r="F27" s="244"/>
      <c r="G27" s="244"/>
      <c r="H27" s="245"/>
      <c r="I27" s="16"/>
    </row>
    <row r="28" spans="1:9" ht="16.899999999999999" customHeight="1">
      <c r="A28" s="47" t="s">
        <v>73</v>
      </c>
      <c r="B28" s="92" t="s">
        <v>4</v>
      </c>
      <c r="C28" s="7"/>
      <c r="D28" s="237" t="s">
        <v>205</v>
      </c>
      <c r="E28" s="238"/>
      <c r="F28" s="238"/>
      <c r="G28" s="238"/>
      <c r="H28" s="239"/>
      <c r="I28" s="16"/>
    </row>
    <row r="29" spans="1:9" ht="28.5" customHeight="1">
      <c r="A29" s="47" t="s">
        <v>74</v>
      </c>
      <c r="B29" s="90" t="s">
        <v>75</v>
      </c>
      <c r="C29" s="7" t="s">
        <v>76</v>
      </c>
      <c r="D29" s="240" t="s">
        <v>206</v>
      </c>
      <c r="E29" s="241"/>
      <c r="F29" s="241"/>
      <c r="G29" s="241"/>
      <c r="H29" s="242"/>
      <c r="I29" s="16"/>
    </row>
    <row r="30" spans="1:9" ht="30">
      <c r="A30" s="47" t="s">
        <v>77</v>
      </c>
      <c r="B30" s="90" t="s">
        <v>78</v>
      </c>
      <c r="C30" s="7" t="s">
        <v>79</v>
      </c>
      <c r="D30" s="71">
        <v>740.3</v>
      </c>
      <c r="E30" s="71">
        <v>913.96</v>
      </c>
      <c r="F30" s="71">
        <v>699.54</v>
      </c>
      <c r="G30" s="71">
        <v>675.07</v>
      </c>
      <c r="H30" s="71">
        <v>1262.93</v>
      </c>
      <c r="I30" s="234" t="s">
        <v>33</v>
      </c>
    </row>
    <row r="31" spans="1:9" ht="30">
      <c r="A31" s="47" t="s">
        <v>80</v>
      </c>
      <c r="B31" s="90" t="s">
        <v>81</v>
      </c>
      <c r="C31" s="7" t="s">
        <v>79</v>
      </c>
      <c r="D31" s="71">
        <v>312.61</v>
      </c>
      <c r="E31" s="71">
        <v>321.93</v>
      </c>
      <c r="F31" s="71">
        <v>233.66</v>
      </c>
      <c r="G31" s="71">
        <v>150.62</v>
      </c>
      <c r="H31" s="71">
        <v>538.16</v>
      </c>
      <c r="I31" s="235"/>
    </row>
    <row r="32" spans="1:9" ht="27" customHeight="1">
      <c r="A32" s="47" t="s">
        <v>82</v>
      </c>
      <c r="B32" s="90" t="s">
        <v>83</v>
      </c>
      <c r="C32" s="7" t="s">
        <v>79</v>
      </c>
      <c r="D32" s="71">
        <v>525.25</v>
      </c>
      <c r="E32" s="71">
        <v>584.15</v>
      </c>
      <c r="F32" s="71">
        <v>477.32</v>
      </c>
      <c r="G32" s="71">
        <v>447.76</v>
      </c>
      <c r="H32" s="71">
        <v>913.62</v>
      </c>
      <c r="I32" s="236"/>
    </row>
    <row r="33" spans="1:9" ht="13.9" customHeight="1">
      <c r="A33" s="79">
        <v>9</v>
      </c>
      <c r="B33" s="90" t="s">
        <v>84</v>
      </c>
      <c r="C33" s="7"/>
      <c r="D33" s="231"/>
      <c r="E33" s="232"/>
      <c r="F33" s="232"/>
      <c r="G33" s="232"/>
      <c r="H33" s="233"/>
      <c r="I33" s="16"/>
    </row>
    <row r="34" spans="1:9" ht="28.5" customHeight="1">
      <c r="A34" s="78">
        <v>9.1</v>
      </c>
      <c r="B34" s="90" t="s">
        <v>85</v>
      </c>
      <c r="C34" s="73" t="s">
        <v>186</v>
      </c>
      <c r="D34" s="94">
        <v>0</v>
      </c>
      <c r="E34" s="94">
        <v>0</v>
      </c>
      <c r="F34" s="94">
        <v>0</v>
      </c>
      <c r="G34" s="94">
        <v>0</v>
      </c>
      <c r="H34" s="95">
        <v>81.052509999999998</v>
      </c>
      <c r="I34" s="16"/>
    </row>
    <row r="35" spans="1:9" ht="29.25" customHeight="1">
      <c r="A35" s="78">
        <v>9.1999999999999993</v>
      </c>
      <c r="B35" s="90" t="s">
        <v>87</v>
      </c>
      <c r="C35" s="7" t="s">
        <v>86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6"/>
    </row>
  </sheetData>
  <mergeCells count="27">
    <mergeCell ref="D16:H16"/>
    <mergeCell ref="D17:H17"/>
    <mergeCell ref="D8:H8"/>
    <mergeCell ref="D9:H9"/>
    <mergeCell ref="D24:H24"/>
    <mergeCell ref="D14:H14"/>
    <mergeCell ref="A2:H2"/>
    <mergeCell ref="D15:H15"/>
    <mergeCell ref="D4:H4"/>
    <mergeCell ref="D5:H5"/>
    <mergeCell ref="D13:H13"/>
    <mergeCell ref="D6:H6"/>
    <mergeCell ref="D7:H7"/>
    <mergeCell ref="D12:H12"/>
    <mergeCell ref="D10:H10"/>
    <mergeCell ref="D11:H11"/>
    <mergeCell ref="I21:I23"/>
    <mergeCell ref="D20:H20"/>
    <mergeCell ref="D18:H18"/>
    <mergeCell ref="D19:H19"/>
    <mergeCell ref="D33:H33"/>
    <mergeCell ref="I30:I32"/>
    <mergeCell ref="D28:H28"/>
    <mergeCell ref="D29:H29"/>
    <mergeCell ref="D26:H26"/>
    <mergeCell ref="D27:H27"/>
    <mergeCell ref="D25:H25"/>
  </mergeCells>
  <printOptions horizontalCentered="1"/>
  <pageMargins left="0.11811023622047245" right="0.11811023622047245" top="0.19685039370078741" bottom="0.23622047244094491" header="0.15748031496062992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64"/>
  <sheetViews>
    <sheetView workbookViewId="0">
      <selection activeCell="O5" sqref="O5"/>
    </sheetView>
  </sheetViews>
  <sheetFormatPr defaultColWidth="8.83203125" defaultRowHeight="15"/>
  <cols>
    <col min="1" max="1" width="9.83203125" style="41" customWidth="1"/>
    <col min="2" max="2" width="19.83203125" style="28" customWidth="1"/>
    <col min="3" max="3" width="19" style="28" customWidth="1"/>
    <col min="4" max="4" width="9.83203125" style="41" customWidth="1"/>
    <col min="5" max="7" width="11.83203125" style="28" bestFit="1" customWidth="1"/>
    <col min="8" max="8" width="15.1640625" style="28" customWidth="1"/>
    <col min="9" max="9" width="12.1640625" style="28" customWidth="1"/>
    <col min="10" max="10" width="21.83203125" style="28" hidden="1" customWidth="1"/>
    <col min="11" max="11" width="12.6640625" style="28" bestFit="1" customWidth="1"/>
    <col min="12" max="12" width="11.5" style="28" bestFit="1" customWidth="1"/>
    <col min="13" max="16384" width="8.83203125" style="28"/>
  </cols>
  <sheetData>
    <row r="1" spans="1:12" ht="16.899999999999999" customHeight="1">
      <c r="A1" s="41" t="s">
        <v>198</v>
      </c>
      <c r="B1" s="28" t="s">
        <v>210</v>
      </c>
      <c r="H1" s="35" t="s">
        <v>171</v>
      </c>
      <c r="I1" s="36"/>
      <c r="J1" s="37"/>
    </row>
    <row r="2" spans="1:12" ht="17.100000000000001" customHeight="1">
      <c r="A2" s="7"/>
      <c r="B2" s="289" t="s">
        <v>160</v>
      </c>
      <c r="C2" s="290"/>
      <c r="D2" s="7" t="s">
        <v>161</v>
      </c>
      <c r="E2" s="91" t="s">
        <v>41</v>
      </c>
      <c r="F2" s="91" t="s">
        <v>42</v>
      </c>
      <c r="G2" s="91" t="s">
        <v>43</v>
      </c>
      <c r="H2" s="91" t="s">
        <v>44</v>
      </c>
      <c r="I2" s="91" t="s">
        <v>45</v>
      </c>
      <c r="J2" s="37"/>
    </row>
    <row r="3" spans="1:12" ht="21.6" customHeight="1">
      <c r="A3" s="38">
        <v>10</v>
      </c>
      <c r="B3" s="275" t="s">
        <v>88</v>
      </c>
      <c r="C3" s="276"/>
      <c r="D3" s="7"/>
      <c r="E3" s="33"/>
      <c r="F3" s="33"/>
      <c r="G3" s="33"/>
      <c r="H3" s="33"/>
      <c r="I3" s="33"/>
      <c r="J3" s="37"/>
    </row>
    <row r="4" spans="1:12" ht="30" customHeight="1">
      <c r="A4" s="44">
        <v>10.1</v>
      </c>
      <c r="B4" s="275" t="s">
        <v>89</v>
      </c>
      <c r="C4" s="276"/>
      <c r="D4" s="7" t="s">
        <v>90</v>
      </c>
      <c r="E4" s="97">
        <v>4775.9116199999999</v>
      </c>
      <c r="F4" s="97">
        <v>4786.395203</v>
      </c>
      <c r="G4" s="97">
        <v>4796.0884299999998</v>
      </c>
      <c r="H4" s="97">
        <v>4658.7257099999997</v>
      </c>
      <c r="I4" s="97">
        <v>4872.1311800000003</v>
      </c>
      <c r="J4" s="37"/>
    </row>
    <row r="5" spans="1:12" ht="17.100000000000001" customHeight="1">
      <c r="A5" s="44">
        <v>10.199999999999999</v>
      </c>
      <c r="B5" s="275" t="s">
        <v>91</v>
      </c>
      <c r="C5" s="276"/>
      <c r="D5" s="7" t="s">
        <v>90</v>
      </c>
      <c r="E5" s="97">
        <v>4313.842533</v>
      </c>
      <c r="F5" s="97">
        <v>4329.6365219999998</v>
      </c>
      <c r="G5" s="97">
        <v>4336.6228350000001</v>
      </c>
      <c r="H5" s="97">
        <v>4205.9821840000004</v>
      </c>
      <c r="I5" s="97">
        <v>4395.4209819999996</v>
      </c>
      <c r="J5" s="37"/>
    </row>
    <row r="6" spans="1:12" ht="25.5" customHeight="1">
      <c r="A6" s="44" t="s">
        <v>226</v>
      </c>
      <c r="B6" s="275" t="s">
        <v>227</v>
      </c>
      <c r="C6" s="288"/>
      <c r="D6" s="7" t="s">
        <v>228</v>
      </c>
      <c r="E6" s="97">
        <v>3967.7504049999998</v>
      </c>
      <c r="F6" s="97">
        <v>3977.0325309999998</v>
      </c>
      <c r="G6" s="97">
        <v>3989.8955390000001</v>
      </c>
      <c r="H6" s="97">
        <v>3843.4655600000001</v>
      </c>
      <c r="I6" s="97">
        <v>3986.6545649999998</v>
      </c>
      <c r="J6" s="37"/>
    </row>
    <row r="7" spans="1:12" ht="17.100000000000001" customHeight="1">
      <c r="A7" s="44">
        <v>10.3</v>
      </c>
      <c r="B7" s="275" t="s">
        <v>92</v>
      </c>
      <c r="C7" s="276"/>
      <c r="D7" s="7" t="s">
        <v>90</v>
      </c>
      <c r="E7" s="97">
        <v>3915.9452030000002</v>
      </c>
      <c r="F7" s="97">
        <v>3957.9686729999999</v>
      </c>
      <c r="G7" s="97">
        <v>3984.7727049999999</v>
      </c>
      <c r="H7" s="97">
        <v>3832.6497890000001</v>
      </c>
      <c r="I7" s="97">
        <v>3895.0020589999999</v>
      </c>
      <c r="J7" s="37"/>
    </row>
    <row r="8" spans="1:12" ht="17.100000000000001" customHeight="1">
      <c r="A8" s="38">
        <v>11</v>
      </c>
      <c r="B8" s="275" t="s">
        <v>93</v>
      </c>
      <c r="C8" s="276"/>
      <c r="D8" s="7" t="s">
        <v>48</v>
      </c>
      <c r="E8" s="97">
        <v>450.71238584474901</v>
      </c>
      <c r="F8" s="97">
        <v>464.286073059361</v>
      </c>
      <c r="G8" s="97">
        <v>458.18681506849299</v>
      </c>
      <c r="H8" s="97">
        <v>449.97115508047898</v>
      </c>
      <c r="I8" s="97">
        <v>480.86763698630102</v>
      </c>
      <c r="J8" s="37"/>
    </row>
    <row r="9" spans="1:12" ht="31.15" customHeight="1">
      <c r="A9" s="38">
        <v>12</v>
      </c>
      <c r="B9" s="275" t="s">
        <v>94</v>
      </c>
      <c r="C9" s="276"/>
      <c r="D9" s="7" t="s">
        <v>90</v>
      </c>
      <c r="E9" s="97">
        <v>462.06908700000002</v>
      </c>
      <c r="F9" s="97">
        <v>456.75868100000002</v>
      </c>
      <c r="G9" s="97">
        <v>459.46559500000001</v>
      </c>
      <c r="H9" s="97">
        <v>452.74352599999997</v>
      </c>
      <c r="I9" s="97">
        <v>476.71019799999999</v>
      </c>
      <c r="J9" s="37"/>
    </row>
    <row r="10" spans="1:12" ht="31.15" customHeight="1">
      <c r="A10" s="38">
        <v>13</v>
      </c>
      <c r="B10" s="277" t="s">
        <v>156</v>
      </c>
      <c r="C10" s="276"/>
      <c r="D10" s="7" t="s">
        <v>90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37"/>
      <c r="K10" s="60"/>
      <c r="L10" s="61"/>
    </row>
    <row r="11" spans="1:12" ht="17.100000000000001" customHeight="1">
      <c r="A11" s="38">
        <v>14</v>
      </c>
      <c r="B11" s="275" t="s">
        <v>54</v>
      </c>
      <c r="C11" s="276"/>
      <c r="D11" s="7"/>
      <c r="E11" s="291" t="s">
        <v>1</v>
      </c>
      <c r="F11" s="291"/>
      <c r="G11" s="291"/>
      <c r="H11" s="291"/>
      <c r="I11" s="291"/>
      <c r="J11" s="37"/>
    </row>
    <row r="12" spans="1:12" ht="17.100000000000001" customHeight="1">
      <c r="A12" s="44">
        <v>14.1</v>
      </c>
      <c r="B12" s="275" t="s">
        <v>95</v>
      </c>
      <c r="C12" s="276"/>
      <c r="D12" s="7" t="s">
        <v>7</v>
      </c>
      <c r="E12" s="30"/>
      <c r="F12" s="33"/>
      <c r="G12" s="33"/>
      <c r="H12" s="33"/>
      <c r="I12" s="33"/>
      <c r="J12" s="37"/>
      <c r="K12" s="59"/>
    </row>
    <row r="13" spans="1:12" ht="29.45" customHeight="1">
      <c r="A13" s="278">
        <v>41640</v>
      </c>
      <c r="B13" s="280" t="s">
        <v>10</v>
      </c>
      <c r="C13" s="39" t="s">
        <v>96</v>
      </c>
      <c r="D13" s="7" t="s">
        <v>56</v>
      </c>
      <c r="E13" s="89">
        <v>5232806.53494062</v>
      </c>
      <c r="F13" s="89">
        <v>5208708.0308522424</v>
      </c>
      <c r="G13" s="89">
        <v>5180117.9772154102</v>
      </c>
      <c r="H13" s="89">
        <v>5072308.8918945258</v>
      </c>
      <c r="I13" s="89">
        <v>5297917.5882164463</v>
      </c>
      <c r="J13" s="37"/>
    </row>
    <row r="14" spans="1:12" ht="33" customHeight="1">
      <c r="A14" s="279"/>
      <c r="B14" s="281"/>
      <c r="C14" s="39" t="s">
        <v>97</v>
      </c>
      <c r="D14" s="7" t="s">
        <v>56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37"/>
    </row>
    <row r="15" spans="1:12" ht="17.100000000000001" customHeight="1">
      <c r="A15" s="40">
        <v>41641</v>
      </c>
      <c r="B15" s="275" t="s">
        <v>98</v>
      </c>
      <c r="C15" s="276"/>
      <c r="D15" s="7" t="s">
        <v>56</v>
      </c>
      <c r="E15" s="96" t="s">
        <v>3</v>
      </c>
      <c r="F15" s="96" t="s">
        <v>3</v>
      </c>
      <c r="G15" s="96" t="s">
        <v>3</v>
      </c>
      <c r="H15" s="96" t="s">
        <v>3</v>
      </c>
      <c r="I15" s="96" t="s">
        <v>3</v>
      </c>
      <c r="J15" s="37"/>
    </row>
    <row r="16" spans="1:12" ht="17.100000000000001" customHeight="1">
      <c r="A16" s="40">
        <v>41642</v>
      </c>
      <c r="B16" s="275" t="s">
        <v>99</v>
      </c>
      <c r="C16" s="276"/>
      <c r="D16" s="7" t="s">
        <v>56</v>
      </c>
      <c r="E16" s="96" t="s">
        <v>3</v>
      </c>
      <c r="F16" s="96" t="s">
        <v>3</v>
      </c>
      <c r="G16" s="96" t="s">
        <v>3</v>
      </c>
      <c r="H16" s="96" t="s">
        <v>3</v>
      </c>
      <c r="I16" s="96" t="s">
        <v>3</v>
      </c>
      <c r="J16" s="37"/>
    </row>
    <row r="17" spans="1:15" ht="17.100000000000001" customHeight="1">
      <c r="A17" s="44">
        <v>14.2</v>
      </c>
      <c r="B17" s="275" t="s">
        <v>100</v>
      </c>
      <c r="C17" s="276"/>
      <c r="D17" s="7"/>
      <c r="E17" s="96"/>
      <c r="F17" s="96"/>
      <c r="G17" s="96"/>
      <c r="H17" s="96"/>
      <c r="I17" s="96"/>
      <c r="J17" s="37"/>
    </row>
    <row r="18" spans="1:15" ht="17.100000000000001" customHeight="1">
      <c r="A18" s="278">
        <v>41671</v>
      </c>
      <c r="B18" s="21" t="s">
        <v>10</v>
      </c>
      <c r="C18" s="10" t="s">
        <v>101</v>
      </c>
      <c r="D18" s="7" t="s">
        <v>102</v>
      </c>
      <c r="E18" s="99" t="s">
        <v>8</v>
      </c>
      <c r="F18" s="99" t="s">
        <v>9</v>
      </c>
      <c r="G18" s="96" t="s">
        <v>9</v>
      </c>
      <c r="H18" s="96" t="s">
        <v>9</v>
      </c>
      <c r="I18" s="96" t="s">
        <v>9</v>
      </c>
      <c r="J18" s="37"/>
    </row>
    <row r="19" spans="1:15" ht="17.100000000000001" customHeight="1">
      <c r="A19" s="279"/>
      <c r="B19" s="22"/>
      <c r="C19" s="10" t="s">
        <v>103</v>
      </c>
      <c r="D19" s="7" t="s">
        <v>102</v>
      </c>
      <c r="E19" s="97">
        <v>2619.4699999999998</v>
      </c>
      <c r="F19" s="97">
        <v>2626.98</v>
      </c>
      <c r="G19" s="97">
        <v>2627.9</v>
      </c>
      <c r="H19" s="97">
        <v>2621.44</v>
      </c>
      <c r="I19" s="97">
        <v>2627.67</v>
      </c>
      <c r="J19" s="37"/>
    </row>
    <row r="20" spans="1:15" ht="27" customHeight="1">
      <c r="A20" s="7"/>
      <c r="B20" s="23"/>
      <c r="C20" s="10" t="s">
        <v>104</v>
      </c>
      <c r="D20" s="7" t="s">
        <v>102</v>
      </c>
      <c r="E20" s="99" t="s">
        <v>8</v>
      </c>
      <c r="F20" s="99" t="s">
        <v>9</v>
      </c>
      <c r="G20" s="96" t="s">
        <v>9</v>
      </c>
      <c r="H20" s="96" t="s">
        <v>9</v>
      </c>
      <c r="I20" s="96" t="s">
        <v>9</v>
      </c>
      <c r="J20" s="37"/>
    </row>
    <row r="21" spans="1:15" ht="15" customHeight="1">
      <c r="A21" s="278">
        <v>41672</v>
      </c>
      <c r="B21" s="21" t="s">
        <v>21</v>
      </c>
      <c r="C21" s="10" t="s">
        <v>101</v>
      </c>
      <c r="D21" s="7" t="s">
        <v>102</v>
      </c>
      <c r="E21" s="96" t="s">
        <v>3</v>
      </c>
      <c r="F21" s="96" t="s">
        <v>3</v>
      </c>
      <c r="G21" s="96" t="s">
        <v>3</v>
      </c>
      <c r="H21" s="96" t="s">
        <v>3</v>
      </c>
      <c r="I21" s="96" t="s">
        <v>3</v>
      </c>
      <c r="J21" s="37"/>
    </row>
    <row r="22" spans="1:15" ht="15" customHeight="1">
      <c r="A22" s="279"/>
      <c r="B22" s="23"/>
      <c r="C22" s="10" t="s">
        <v>103</v>
      </c>
      <c r="D22" s="7" t="s">
        <v>102</v>
      </c>
      <c r="E22" s="96" t="s">
        <v>3</v>
      </c>
      <c r="F22" s="96" t="s">
        <v>3</v>
      </c>
      <c r="G22" s="96" t="s">
        <v>3</v>
      </c>
      <c r="H22" s="96" t="s">
        <v>3</v>
      </c>
      <c r="I22" s="96" t="s">
        <v>3</v>
      </c>
      <c r="J22" s="37"/>
    </row>
    <row r="23" spans="1:15" ht="15.75" customHeight="1">
      <c r="A23" s="278">
        <v>41673</v>
      </c>
      <c r="B23" s="287" t="s">
        <v>194</v>
      </c>
      <c r="C23" s="10" t="s">
        <v>101</v>
      </c>
      <c r="D23" s="7" t="s">
        <v>102</v>
      </c>
      <c r="E23" s="96" t="s">
        <v>3</v>
      </c>
      <c r="F23" s="96" t="s">
        <v>3</v>
      </c>
      <c r="G23" s="96" t="s">
        <v>3</v>
      </c>
      <c r="H23" s="96" t="s">
        <v>3</v>
      </c>
      <c r="I23" s="96" t="s">
        <v>3</v>
      </c>
      <c r="J23" s="37"/>
    </row>
    <row r="24" spans="1:15" ht="15.75" customHeight="1">
      <c r="A24" s="279"/>
      <c r="B24" s="281"/>
      <c r="C24" s="10" t="s">
        <v>103</v>
      </c>
      <c r="D24" s="7" t="s">
        <v>102</v>
      </c>
      <c r="E24" s="96" t="s">
        <v>3</v>
      </c>
      <c r="F24" s="96" t="s">
        <v>3</v>
      </c>
      <c r="G24" s="96" t="s">
        <v>3</v>
      </c>
      <c r="H24" s="96" t="s">
        <v>3</v>
      </c>
      <c r="I24" s="96" t="s">
        <v>3</v>
      </c>
      <c r="J24" s="37"/>
    </row>
    <row r="25" spans="1:15" ht="29.45" customHeight="1">
      <c r="A25" s="40">
        <v>41674</v>
      </c>
      <c r="B25" s="277" t="s">
        <v>162</v>
      </c>
      <c r="C25" s="276"/>
      <c r="D25" s="7" t="s">
        <v>102</v>
      </c>
      <c r="E25" s="20" t="s">
        <v>9</v>
      </c>
      <c r="F25" s="100" t="s">
        <v>9</v>
      </c>
      <c r="G25" s="20" t="s">
        <v>9</v>
      </c>
      <c r="H25" s="20" t="s">
        <v>9</v>
      </c>
      <c r="I25" s="20" t="s">
        <v>9</v>
      </c>
      <c r="J25" s="37"/>
    </row>
    <row r="26" spans="1:15" ht="30" customHeight="1">
      <c r="A26" s="40">
        <v>41675</v>
      </c>
      <c r="B26" s="277" t="s">
        <v>163</v>
      </c>
      <c r="C26" s="276"/>
      <c r="D26" s="7" t="s">
        <v>102</v>
      </c>
      <c r="E26" s="97">
        <v>2619.4699999999998</v>
      </c>
      <c r="F26" s="97">
        <v>2626.98</v>
      </c>
      <c r="G26" s="97">
        <v>2627.9</v>
      </c>
      <c r="H26" s="97">
        <v>2621.44</v>
      </c>
      <c r="I26" s="97">
        <v>2627.67</v>
      </c>
      <c r="J26" s="37"/>
    </row>
    <row r="27" spans="1:15" ht="33.75" customHeight="1">
      <c r="A27" s="40">
        <v>41676</v>
      </c>
      <c r="B27" s="277" t="s">
        <v>164</v>
      </c>
      <c r="C27" s="276"/>
      <c r="D27" s="7" t="s">
        <v>102</v>
      </c>
      <c r="E27" s="20" t="s">
        <v>9</v>
      </c>
      <c r="F27" s="100" t="s">
        <v>9</v>
      </c>
      <c r="G27" s="20" t="s">
        <v>9</v>
      </c>
      <c r="H27" s="20" t="s">
        <v>9</v>
      </c>
      <c r="I27" s="20" t="s">
        <v>9</v>
      </c>
      <c r="J27" s="37"/>
    </row>
    <row r="28" spans="1:15" ht="15.75" customHeight="1">
      <c r="A28" s="44">
        <v>14.3</v>
      </c>
      <c r="B28" s="275" t="s">
        <v>105</v>
      </c>
      <c r="C28" s="276"/>
      <c r="D28" s="7"/>
      <c r="E28" s="30"/>
      <c r="F28" s="33"/>
      <c r="G28" s="33"/>
      <c r="H28" s="33"/>
      <c r="I28" s="33"/>
      <c r="J28" s="37"/>
    </row>
    <row r="29" spans="1:15" ht="30" customHeight="1">
      <c r="A29" s="40">
        <v>41699</v>
      </c>
      <c r="B29" s="277" t="s">
        <v>165</v>
      </c>
      <c r="C29" s="276"/>
      <c r="D29" s="8" t="s">
        <v>187</v>
      </c>
      <c r="E29" s="96">
        <v>1674</v>
      </c>
      <c r="F29" s="96">
        <v>1767.89</v>
      </c>
      <c r="G29" s="96">
        <v>1930</v>
      </c>
      <c r="H29" s="96">
        <v>2324.4899999999998</v>
      </c>
      <c r="I29" s="96">
        <v>2633.67</v>
      </c>
      <c r="J29" s="37"/>
      <c r="K29" s="28">
        <v>1674</v>
      </c>
      <c r="L29" s="28">
        <v>1767.89</v>
      </c>
      <c r="M29" s="28">
        <v>1930</v>
      </c>
      <c r="N29" s="28">
        <v>2324.4899999999998</v>
      </c>
      <c r="O29" s="28">
        <v>2633.67</v>
      </c>
    </row>
    <row r="30" spans="1:15" ht="31.5" customHeight="1">
      <c r="A30" s="40">
        <v>41700</v>
      </c>
      <c r="B30" s="277" t="s">
        <v>166</v>
      </c>
      <c r="C30" s="276"/>
      <c r="D30" s="8" t="s">
        <v>187</v>
      </c>
      <c r="E30" s="96" t="s">
        <v>3</v>
      </c>
      <c r="F30" s="96" t="s">
        <v>3</v>
      </c>
      <c r="G30" s="96" t="s">
        <v>3</v>
      </c>
      <c r="H30" s="96" t="s">
        <v>3</v>
      </c>
      <c r="I30" s="96" t="s">
        <v>3</v>
      </c>
      <c r="J30" s="37"/>
    </row>
    <row r="31" spans="1:15" ht="32.450000000000003" customHeight="1">
      <c r="A31" s="40">
        <v>41701</v>
      </c>
      <c r="B31" s="277" t="s">
        <v>167</v>
      </c>
      <c r="C31" s="276"/>
      <c r="D31" s="8" t="s">
        <v>187</v>
      </c>
      <c r="E31" s="96" t="s">
        <v>3</v>
      </c>
      <c r="F31" s="96" t="s">
        <v>3</v>
      </c>
      <c r="G31" s="96" t="s">
        <v>3</v>
      </c>
      <c r="H31" s="96" t="s">
        <v>3</v>
      </c>
      <c r="I31" s="96" t="s">
        <v>3</v>
      </c>
      <c r="J31" s="37"/>
    </row>
    <row r="32" spans="1:15" ht="32.450000000000003" customHeight="1">
      <c r="A32" s="40">
        <v>41702</v>
      </c>
      <c r="B32" s="277" t="s">
        <v>168</v>
      </c>
      <c r="C32" s="276"/>
      <c r="D32" s="8" t="s">
        <v>187</v>
      </c>
      <c r="E32" s="96">
        <v>1674</v>
      </c>
      <c r="F32" s="96">
        <v>1767.89</v>
      </c>
      <c r="G32" s="96">
        <v>1930</v>
      </c>
      <c r="H32" s="96">
        <v>2324.4899999999998</v>
      </c>
      <c r="I32" s="96">
        <v>2633.67</v>
      </c>
      <c r="J32" s="37"/>
    </row>
    <row r="33" spans="1:11" ht="53.45" customHeight="1">
      <c r="A33" s="44">
        <v>14.4</v>
      </c>
      <c r="B33" s="275" t="s">
        <v>106</v>
      </c>
      <c r="C33" s="276"/>
      <c r="D33" s="43" t="s">
        <v>218</v>
      </c>
      <c r="E33" s="27"/>
      <c r="F33" s="27"/>
      <c r="G33" s="27"/>
      <c r="H33" s="27"/>
      <c r="I33" s="27"/>
      <c r="J33" s="37"/>
    </row>
    <row r="34" spans="1:11" ht="40.5" customHeight="1">
      <c r="A34" s="40">
        <v>41730</v>
      </c>
      <c r="B34" s="275" t="s">
        <v>107</v>
      </c>
      <c r="C34" s="276"/>
      <c r="D34" s="43" t="s">
        <v>217</v>
      </c>
      <c r="E34" s="96" t="s">
        <v>3</v>
      </c>
      <c r="F34" s="96" t="s">
        <v>3</v>
      </c>
      <c r="G34" s="96" t="s">
        <v>3</v>
      </c>
      <c r="H34" s="96" t="s">
        <v>3</v>
      </c>
      <c r="I34" s="96" t="s">
        <v>3</v>
      </c>
      <c r="J34" s="37"/>
    </row>
    <row r="35" spans="1:11" ht="27.75" customHeight="1">
      <c r="A35" s="40">
        <v>41731</v>
      </c>
      <c r="B35" s="275" t="s">
        <v>108</v>
      </c>
      <c r="C35" s="276"/>
      <c r="D35" s="7"/>
      <c r="E35" s="96" t="s">
        <v>3</v>
      </c>
      <c r="F35" s="96" t="s">
        <v>3</v>
      </c>
      <c r="G35" s="96" t="s">
        <v>3</v>
      </c>
      <c r="H35" s="96" t="s">
        <v>3</v>
      </c>
      <c r="I35" s="96" t="s">
        <v>3</v>
      </c>
      <c r="J35" s="37"/>
    </row>
    <row r="36" spans="1:11" ht="28.5" customHeight="1">
      <c r="A36" s="44">
        <v>14.5</v>
      </c>
      <c r="B36" s="277" t="s">
        <v>11</v>
      </c>
      <c r="C36" s="276"/>
      <c r="D36" s="8" t="s">
        <v>7</v>
      </c>
      <c r="E36" s="88">
        <v>137133.64821428599</v>
      </c>
      <c r="F36" s="89">
        <v>116142.96428571428</v>
      </c>
      <c r="G36" s="89">
        <v>260307.18034662129</v>
      </c>
      <c r="H36" s="89">
        <v>299456.37502910697</v>
      </c>
      <c r="I36" s="89">
        <v>497398.79409633734</v>
      </c>
      <c r="J36" s="37"/>
    </row>
    <row r="37" spans="1:11" ht="30" customHeight="1">
      <c r="A37" s="44">
        <v>14.5</v>
      </c>
      <c r="B37" s="275" t="s">
        <v>109</v>
      </c>
      <c r="C37" s="276"/>
      <c r="D37" s="7" t="s">
        <v>110</v>
      </c>
      <c r="E37" s="99" t="s">
        <v>9</v>
      </c>
      <c r="F37" s="99" t="s">
        <v>9</v>
      </c>
      <c r="G37" s="99" t="s">
        <v>8</v>
      </c>
      <c r="H37" s="99" t="s">
        <v>8</v>
      </c>
      <c r="I37" s="99" t="s">
        <v>8</v>
      </c>
      <c r="J37" s="37" t="s">
        <v>23</v>
      </c>
      <c r="K37" s="3"/>
    </row>
    <row r="38" spans="1:11" ht="19.149999999999999" customHeight="1">
      <c r="A38" s="40">
        <v>41760</v>
      </c>
      <c r="B38" s="275" t="s">
        <v>111</v>
      </c>
      <c r="C38" s="276"/>
      <c r="D38" s="7"/>
      <c r="E38" s="99" t="s">
        <v>9</v>
      </c>
      <c r="F38" s="99" t="s">
        <v>9</v>
      </c>
      <c r="G38" s="99" t="s">
        <v>8</v>
      </c>
      <c r="H38" s="99" t="s">
        <v>8</v>
      </c>
      <c r="I38" s="99" t="s">
        <v>8</v>
      </c>
      <c r="J38" s="37"/>
    </row>
    <row r="39" spans="1:11" ht="21.75" customHeight="1">
      <c r="A39" s="7" t="s">
        <v>112</v>
      </c>
      <c r="B39" s="275" t="s">
        <v>113</v>
      </c>
      <c r="C39" s="276"/>
      <c r="D39" s="7"/>
      <c r="E39" s="99" t="s">
        <v>9</v>
      </c>
      <c r="F39" s="99" t="s">
        <v>9</v>
      </c>
      <c r="G39" s="99" t="s">
        <v>8</v>
      </c>
      <c r="H39" s="99" t="s">
        <v>8</v>
      </c>
      <c r="I39" s="99" t="s">
        <v>8</v>
      </c>
      <c r="J39" s="37"/>
    </row>
    <row r="40" spans="1:11" ht="29.45" customHeight="1">
      <c r="A40" s="7" t="s">
        <v>114</v>
      </c>
      <c r="B40" s="277" t="s">
        <v>182</v>
      </c>
      <c r="C40" s="276"/>
      <c r="D40" s="7"/>
      <c r="E40" s="96" t="s">
        <v>3</v>
      </c>
      <c r="F40" s="96" t="s">
        <v>3</v>
      </c>
      <c r="G40" s="96" t="s">
        <v>3</v>
      </c>
      <c r="H40" s="96" t="s">
        <v>3</v>
      </c>
      <c r="I40" s="96" t="s">
        <v>3</v>
      </c>
      <c r="J40" s="37"/>
    </row>
    <row r="41" spans="1:11" ht="20.25" customHeight="1">
      <c r="A41" s="7" t="s">
        <v>115</v>
      </c>
      <c r="B41" s="275" t="s">
        <v>116</v>
      </c>
      <c r="C41" s="276"/>
      <c r="D41" s="7"/>
      <c r="E41" s="96" t="s">
        <v>3</v>
      </c>
      <c r="F41" s="96" t="s">
        <v>3</v>
      </c>
      <c r="G41" s="96" t="s">
        <v>3</v>
      </c>
      <c r="H41" s="96" t="s">
        <v>3</v>
      </c>
      <c r="I41" s="96" t="s">
        <v>3</v>
      </c>
      <c r="J41" s="37"/>
    </row>
    <row r="42" spans="1:11" ht="20.25" customHeight="1">
      <c r="A42" s="40">
        <v>41761</v>
      </c>
      <c r="B42" s="275" t="s">
        <v>117</v>
      </c>
      <c r="C42" s="276"/>
      <c r="D42" s="7"/>
      <c r="E42" s="96"/>
      <c r="F42" s="96"/>
      <c r="G42" s="96"/>
      <c r="H42" s="96"/>
      <c r="I42" s="96"/>
      <c r="J42" s="37"/>
    </row>
    <row r="43" spans="1:11" ht="27" customHeight="1">
      <c r="A43" s="7" t="s">
        <v>118</v>
      </c>
      <c r="B43" s="275" t="s">
        <v>113</v>
      </c>
      <c r="C43" s="276"/>
      <c r="D43" s="7"/>
      <c r="E43" s="96" t="s">
        <v>3</v>
      </c>
      <c r="F43" s="96" t="s">
        <v>3</v>
      </c>
      <c r="G43" s="96" t="s">
        <v>3</v>
      </c>
      <c r="H43" s="96" t="s">
        <v>3</v>
      </c>
      <c r="I43" s="96" t="s">
        <v>3</v>
      </c>
      <c r="J43" s="37"/>
    </row>
    <row r="44" spans="1:11" ht="31.9" customHeight="1">
      <c r="A44" s="7" t="s">
        <v>119</v>
      </c>
      <c r="B44" s="277" t="s">
        <v>172</v>
      </c>
      <c r="C44" s="276"/>
      <c r="D44" s="7"/>
      <c r="E44" s="96" t="s">
        <v>3</v>
      </c>
      <c r="F44" s="96" t="s">
        <v>3</v>
      </c>
      <c r="G44" s="96" t="s">
        <v>3</v>
      </c>
      <c r="H44" s="96" t="s">
        <v>3</v>
      </c>
      <c r="I44" s="96" t="s">
        <v>3</v>
      </c>
      <c r="J44" s="37"/>
    </row>
    <row r="45" spans="1:11" ht="27" customHeight="1">
      <c r="A45" s="7" t="s">
        <v>120</v>
      </c>
      <c r="B45" s="275" t="s">
        <v>116</v>
      </c>
      <c r="C45" s="276"/>
      <c r="D45" s="7"/>
      <c r="E45" s="96" t="s">
        <v>3</v>
      </c>
      <c r="F45" s="96" t="s">
        <v>3</v>
      </c>
      <c r="G45" s="96" t="s">
        <v>3</v>
      </c>
      <c r="H45" s="96" t="s">
        <v>3</v>
      </c>
      <c r="I45" s="96" t="s">
        <v>3</v>
      </c>
      <c r="J45" s="37"/>
    </row>
    <row r="46" spans="1:11" ht="45.6" customHeight="1">
      <c r="A46" s="38">
        <v>15</v>
      </c>
      <c r="B46" s="277" t="s">
        <v>121</v>
      </c>
      <c r="C46" s="276"/>
      <c r="D46" s="7"/>
      <c r="E46" s="27"/>
      <c r="F46" s="27"/>
      <c r="G46" s="27"/>
      <c r="H46" s="27"/>
      <c r="I46" s="27"/>
      <c r="J46" s="37"/>
    </row>
    <row r="47" spans="1:11" ht="20.45" customHeight="1">
      <c r="A47" s="44">
        <v>15.1</v>
      </c>
      <c r="B47" s="275" t="s">
        <v>122</v>
      </c>
      <c r="C47" s="276"/>
      <c r="D47" s="43" t="s">
        <v>188</v>
      </c>
      <c r="E47" s="27"/>
      <c r="F47" s="11"/>
      <c r="G47" s="11"/>
      <c r="H47" s="11"/>
      <c r="I47" s="11"/>
      <c r="J47" s="37"/>
    </row>
    <row r="48" spans="1:11" ht="20.45" customHeight="1">
      <c r="A48" s="44">
        <v>15.1</v>
      </c>
      <c r="B48" s="275" t="s">
        <v>13</v>
      </c>
      <c r="C48" s="276"/>
      <c r="D48" s="42" t="s">
        <v>14</v>
      </c>
      <c r="E48" s="97">
        <v>2300.1203</v>
      </c>
      <c r="F48" s="97">
        <v>1724.6177</v>
      </c>
      <c r="G48" s="97">
        <v>1984.2138</v>
      </c>
      <c r="H48" s="97">
        <v>3686.6610000000001</v>
      </c>
      <c r="I48" s="97">
        <v>2352.9605000000001</v>
      </c>
      <c r="J48" s="37"/>
    </row>
    <row r="49" spans="1:10" ht="16.5" customHeight="1">
      <c r="A49" s="44"/>
      <c r="B49" s="275" t="s">
        <v>12</v>
      </c>
      <c r="C49" s="276"/>
      <c r="D49" s="42" t="s">
        <v>14</v>
      </c>
      <c r="E49" s="97"/>
      <c r="F49" s="97"/>
      <c r="G49" s="97"/>
      <c r="H49" s="97"/>
      <c r="I49" s="97"/>
      <c r="J49" s="37"/>
    </row>
    <row r="50" spans="1:10" ht="30" customHeight="1">
      <c r="A50" s="44">
        <v>15.2</v>
      </c>
      <c r="B50" s="277" t="s">
        <v>181</v>
      </c>
      <c r="C50" s="276"/>
      <c r="D50" s="43" t="s">
        <v>192</v>
      </c>
      <c r="E50" s="97">
        <v>9971.56</v>
      </c>
      <c r="F50" s="97">
        <v>10025.379999999999</v>
      </c>
      <c r="G50" s="97">
        <v>10163.41</v>
      </c>
      <c r="H50" s="97">
        <v>10132.85</v>
      </c>
      <c r="I50" s="97">
        <v>10175.209999999999</v>
      </c>
      <c r="J50" s="37"/>
    </row>
    <row r="51" spans="1:10" ht="21.75" customHeight="1">
      <c r="A51" s="44">
        <v>15.3</v>
      </c>
      <c r="B51" s="275" t="s">
        <v>123</v>
      </c>
      <c r="C51" s="276"/>
      <c r="D51" s="43" t="s">
        <v>189</v>
      </c>
      <c r="E51" s="101"/>
      <c r="F51" s="101"/>
      <c r="G51" s="101"/>
      <c r="H51" s="101"/>
      <c r="I51" s="101"/>
      <c r="J51" s="37"/>
    </row>
    <row r="52" spans="1:10" ht="16.5" customHeight="1">
      <c r="A52" s="44" t="s">
        <v>24</v>
      </c>
      <c r="B52" s="275" t="s">
        <v>13</v>
      </c>
      <c r="C52" s="276"/>
      <c r="D52" s="7" t="s">
        <v>193</v>
      </c>
      <c r="E52" s="97">
        <v>49468.234199999999</v>
      </c>
      <c r="F52" s="97">
        <v>50493.420993414613</v>
      </c>
      <c r="G52" s="97">
        <v>46840.935149999998</v>
      </c>
      <c r="H52" s="97">
        <v>24695.337081854821</v>
      </c>
      <c r="I52" s="97">
        <v>27955.967843999999</v>
      </c>
      <c r="J52" s="284" t="s">
        <v>23</v>
      </c>
    </row>
    <row r="53" spans="1:10" ht="15.75" customHeight="1">
      <c r="A53" s="44" t="s">
        <v>25</v>
      </c>
      <c r="B53" s="275" t="s">
        <v>12</v>
      </c>
      <c r="C53" s="276"/>
      <c r="D53" s="7" t="s">
        <v>193</v>
      </c>
      <c r="E53" s="97"/>
      <c r="F53" s="97"/>
      <c r="G53" s="97"/>
      <c r="H53" s="97"/>
      <c r="I53" s="97"/>
      <c r="J53" s="284"/>
    </row>
    <row r="54" spans="1:10" ht="16.5" customHeight="1">
      <c r="A54" s="44">
        <v>15.4</v>
      </c>
      <c r="B54" s="275" t="s">
        <v>124</v>
      </c>
      <c r="C54" s="276"/>
      <c r="D54" s="43" t="s">
        <v>190</v>
      </c>
      <c r="E54" s="96"/>
      <c r="F54" s="96"/>
      <c r="G54" s="96"/>
      <c r="H54" s="96"/>
      <c r="I54" s="96"/>
      <c r="J54" s="37"/>
    </row>
    <row r="55" spans="1:10" ht="15" customHeight="1">
      <c r="A55" s="44" t="s">
        <v>15</v>
      </c>
      <c r="B55" s="275" t="s">
        <v>13</v>
      </c>
      <c r="C55" s="276"/>
      <c r="D55" s="7" t="s">
        <v>14</v>
      </c>
      <c r="E55" s="97">
        <v>525.245</v>
      </c>
      <c r="F55" s="97">
        <v>584.14499999999998</v>
      </c>
      <c r="G55" s="97">
        <v>477.31700000000001</v>
      </c>
      <c r="H55" s="97">
        <v>447.76499999999999</v>
      </c>
      <c r="I55" s="97">
        <v>913.61900000000003</v>
      </c>
      <c r="J55" s="291" t="s">
        <v>26</v>
      </c>
    </row>
    <row r="56" spans="1:10" ht="18.75" customHeight="1">
      <c r="A56" s="44" t="s">
        <v>16</v>
      </c>
      <c r="B56" s="275" t="s">
        <v>12</v>
      </c>
      <c r="C56" s="276"/>
      <c r="D56" s="7" t="s">
        <v>14</v>
      </c>
      <c r="E56" s="97"/>
      <c r="F56" s="97"/>
      <c r="G56" s="97"/>
      <c r="H56" s="97"/>
      <c r="I56" s="97"/>
      <c r="J56" s="291"/>
    </row>
    <row r="57" spans="1:10" ht="29.25" customHeight="1">
      <c r="A57" s="38">
        <v>16</v>
      </c>
      <c r="B57" s="275" t="s">
        <v>125</v>
      </c>
      <c r="C57" s="276"/>
      <c r="D57" s="7"/>
      <c r="E57" s="96"/>
      <c r="F57" s="96"/>
      <c r="G57" s="96"/>
      <c r="H57" s="96"/>
      <c r="I57" s="96"/>
      <c r="J57" s="37"/>
    </row>
    <row r="58" spans="1:10" ht="21.6" customHeight="1">
      <c r="A58" s="44">
        <v>16.100000000000001</v>
      </c>
      <c r="B58" s="275" t="s">
        <v>126</v>
      </c>
      <c r="C58" s="276"/>
      <c r="D58" s="285" t="s">
        <v>191</v>
      </c>
      <c r="E58" s="97">
        <v>97.039999999999992</v>
      </c>
      <c r="F58" s="97">
        <v>88.42</v>
      </c>
      <c r="G58" s="97">
        <v>82.63</v>
      </c>
      <c r="H58" s="97">
        <v>90.57</v>
      </c>
      <c r="I58" s="97">
        <v>56.730000000000004</v>
      </c>
      <c r="J58" s="284"/>
    </row>
    <row r="59" spans="1:10" ht="21.6" customHeight="1">
      <c r="A59" s="44">
        <v>16.2</v>
      </c>
      <c r="B59" s="275" t="s">
        <v>127</v>
      </c>
      <c r="C59" s="276"/>
      <c r="D59" s="286"/>
      <c r="E59" s="97">
        <v>31.79</v>
      </c>
      <c r="F59" s="97">
        <v>19.86</v>
      </c>
      <c r="G59" s="97">
        <v>36.619999999999997</v>
      </c>
      <c r="H59" s="97">
        <v>38.79</v>
      </c>
      <c r="I59" s="97">
        <v>24.76</v>
      </c>
      <c r="J59" s="284"/>
    </row>
    <row r="60" spans="1:10" ht="21.6" customHeight="1">
      <c r="A60" s="44">
        <v>16.3</v>
      </c>
      <c r="B60" s="275" t="s">
        <v>128</v>
      </c>
      <c r="C60" s="276"/>
      <c r="D60" s="7"/>
      <c r="E60" s="97">
        <v>31</v>
      </c>
      <c r="F60" s="97">
        <v>22</v>
      </c>
      <c r="G60" s="97">
        <v>32</v>
      </c>
      <c r="H60" s="97">
        <v>29</v>
      </c>
      <c r="I60" s="97">
        <v>26</v>
      </c>
      <c r="J60" s="37"/>
    </row>
    <row r="61" spans="1:10" ht="21.6" customHeight="1">
      <c r="A61" s="44">
        <v>16.399999999999999</v>
      </c>
      <c r="B61" s="275" t="s">
        <v>129</v>
      </c>
      <c r="C61" s="276"/>
      <c r="D61" s="7"/>
      <c r="E61" s="97">
        <v>28</v>
      </c>
      <c r="F61" s="97">
        <v>22</v>
      </c>
      <c r="G61" s="97">
        <v>29</v>
      </c>
      <c r="H61" s="97">
        <v>29</v>
      </c>
      <c r="I61" s="97">
        <v>25</v>
      </c>
      <c r="J61" s="37"/>
    </row>
    <row r="62" spans="1:10" ht="21.6" customHeight="1">
      <c r="A62" s="40">
        <v>42461</v>
      </c>
      <c r="B62" s="275" t="s">
        <v>130</v>
      </c>
      <c r="C62" s="276"/>
      <c r="D62" s="7"/>
      <c r="E62" s="97">
        <v>5</v>
      </c>
      <c r="F62" s="97">
        <v>3</v>
      </c>
      <c r="G62" s="97">
        <v>4</v>
      </c>
      <c r="H62" s="97">
        <v>6</v>
      </c>
      <c r="I62" s="97">
        <v>3</v>
      </c>
      <c r="J62" s="234" t="s">
        <v>34</v>
      </c>
    </row>
    <row r="63" spans="1:10" ht="21.6" customHeight="1">
      <c r="A63" s="40">
        <v>42462</v>
      </c>
      <c r="B63" s="275" t="s">
        <v>131</v>
      </c>
      <c r="C63" s="276"/>
      <c r="D63" s="7"/>
      <c r="E63" s="97">
        <v>14</v>
      </c>
      <c r="F63" s="97">
        <v>12</v>
      </c>
      <c r="G63" s="97">
        <v>18</v>
      </c>
      <c r="H63" s="97">
        <v>18</v>
      </c>
      <c r="I63" s="97">
        <v>19</v>
      </c>
      <c r="J63" s="282"/>
    </row>
    <row r="64" spans="1:10" ht="21.6" customHeight="1">
      <c r="A64" s="40">
        <v>42463</v>
      </c>
      <c r="B64" s="275" t="s">
        <v>132</v>
      </c>
      <c r="C64" s="276"/>
      <c r="D64" s="7"/>
      <c r="E64" s="97">
        <v>9</v>
      </c>
      <c r="F64" s="97">
        <v>7</v>
      </c>
      <c r="G64" s="97">
        <v>7</v>
      </c>
      <c r="H64" s="97">
        <v>5</v>
      </c>
      <c r="I64" s="97">
        <v>3</v>
      </c>
      <c r="J64" s="283"/>
    </row>
  </sheetData>
  <mergeCells count="66">
    <mergeCell ref="B6:C6"/>
    <mergeCell ref="B2:C2"/>
    <mergeCell ref="B3:C3"/>
    <mergeCell ref="J55:J56"/>
    <mergeCell ref="B52:C52"/>
    <mergeCell ref="B53:C53"/>
    <mergeCell ref="B54:C54"/>
    <mergeCell ref="B9:C9"/>
    <mergeCell ref="B10:C10"/>
    <mergeCell ref="B7:C7"/>
    <mergeCell ref="B8:C8"/>
    <mergeCell ref="B4:C4"/>
    <mergeCell ref="B5:C5"/>
    <mergeCell ref="E11:I11"/>
    <mergeCell ref="B11:C11"/>
    <mergeCell ref="B12:C12"/>
    <mergeCell ref="A13:A14"/>
    <mergeCell ref="B13:B14"/>
    <mergeCell ref="J62:J64"/>
    <mergeCell ref="J58:J59"/>
    <mergeCell ref="J52:J53"/>
    <mergeCell ref="D58:D59"/>
    <mergeCell ref="B15:C15"/>
    <mergeCell ref="B16:C16"/>
    <mergeCell ref="A23:A24"/>
    <mergeCell ref="B23:B24"/>
    <mergeCell ref="A21:A22"/>
    <mergeCell ref="B17:C17"/>
    <mergeCell ref="A18:A19"/>
    <mergeCell ref="B30:C30"/>
    <mergeCell ref="B27:C27"/>
    <mergeCell ref="B28:C28"/>
    <mergeCell ref="B25:C25"/>
    <mergeCell ref="B26:C26"/>
    <mergeCell ref="B35:C35"/>
    <mergeCell ref="B36:C36"/>
    <mergeCell ref="B33:C33"/>
    <mergeCell ref="B34:C34"/>
    <mergeCell ref="B31:C31"/>
    <mergeCell ref="B32:C32"/>
    <mergeCell ref="B29:C29"/>
    <mergeCell ref="B41:C41"/>
    <mergeCell ref="B42:C42"/>
    <mergeCell ref="B39:C39"/>
    <mergeCell ref="B40:C40"/>
    <mergeCell ref="B37:C37"/>
    <mergeCell ref="B38:C38"/>
    <mergeCell ref="B46:C46"/>
    <mergeCell ref="B47:C47"/>
    <mergeCell ref="B45:C45"/>
    <mergeCell ref="B43:C43"/>
    <mergeCell ref="B44:C44"/>
    <mergeCell ref="B48:C48"/>
    <mergeCell ref="B49:C49"/>
    <mergeCell ref="B62:C62"/>
    <mergeCell ref="B64:C64"/>
    <mergeCell ref="B63:C63"/>
    <mergeCell ref="B60:C60"/>
    <mergeCell ref="B61:C61"/>
    <mergeCell ref="B58:C58"/>
    <mergeCell ref="B59:C59"/>
    <mergeCell ref="B57:C57"/>
    <mergeCell ref="B56:C56"/>
    <mergeCell ref="B55:C55"/>
    <mergeCell ref="B50:C50"/>
    <mergeCell ref="B51:C51"/>
  </mergeCells>
  <hyperlinks>
    <hyperlink ref="F9" r:id="rId1" display="317@"/>
    <hyperlink ref="F13" r:id="rId2" display="317@"/>
    <hyperlink ref="F19" r:id="rId3" display="317@"/>
    <hyperlink ref="F26" r:id="rId4" display="317@"/>
    <hyperlink ref="F36" r:id="rId5" display="317@"/>
    <hyperlink ref="F48" r:id="rId6" display="317@"/>
    <hyperlink ref="F50" r:id="rId7" display="317@"/>
    <hyperlink ref="F52" r:id="rId8" display="317@"/>
    <hyperlink ref="F55" r:id="rId9" display="317@"/>
  </hyperlinks>
  <pageMargins left="0.31496062992125984" right="0.11811023622047245" top="0.35433070866141736" bottom="0.35433070866141736" header="0" footer="0"/>
  <pageSetup paperSize="9" scale="91" fitToHeight="3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2"/>
  <sheetViews>
    <sheetView workbookViewId="0">
      <selection activeCell="J13" sqref="J13"/>
    </sheetView>
  </sheetViews>
  <sheetFormatPr defaultColWidth="8.83203125" defaultRowHeight="15"/>
  <cols>
    <col min="1" max="1" width="7.83203125" style="41" customWidth="1"/>
    <col min="2" max="2" width="40.1640625" style="28" customWidth="1"/>
    <col min="3" max="3" width="12" style="9" customWidth="1"/>
    <col min="4" max="8" width="11.1640625" style="28" customWidth="1"/>
    <col min="9" max="9" width="12.6640625" style="28" bestFit="1" customWidth="1"/>
    <col min="10" max="10" width="11.5" style="28" bestFit="1" customWidth="1"/>
    <col min="11" max="16384" width="8.83203125" style="28"/>
  </cols>
  <sheetData>
    <row r="1" spans="1:8" ht="18.600000000000001" customHeight="1">
      <c r="A1" s="64" t="s">
        <v>198</v>
      </c>
      <c r="B1" s="34" t="s">
        <v>208</v>
      </c>
      <c r="F1" s="36" t="s">
        <v>174</v>
      </c>
    </row>
    <row r="2" spans="1:8" ht="13.9" customHeight="1">
      <c r="A2" s="47"/>
      <c r="B2" s="7" t="s">
        <v>39</v>
      </c>
      <c r="C2" s="48" t="s">
        <v>40</v>
      </c>
      <c r="D2" s="55" t="s">
        <v>41</v>
      </c>
      <c r="E2" s="56" t="s">
        <v>42</v>
      </c>
      <c r="F2" s="27" t="s">
        <v>43</v>
      </c>
      <c r="G2" s="57" t="s">
        <v>36</v>
      </c>
      <c r="H2" s="57" t="s">
        <v>37</v>
      </c>
    </row>
    <row r="3" spans="1:8" ht="31.15" customHeight="1">
      <c r="A3" s="38">
        <v>17</v>
      </c>
      <c r="B3" s="29" t="s">
        <v>133</v>
      </c>
      <c r="C3" s="6"/>
      <c r="D3" s="33"/>
      <c r="E3" s="49"/>
      <c r="F3" s="30"/>
      <c r="G3" s="30"/>
      <c r="H3" s="50"/>
    </row>
    <row r="4" spans="1:8" ht="33" customHeight="1">
      <c r="A4" s="44">
        <v>17.100000000000001</v>
      </c>
      <c r="B4" s="30" t="s">
        <v>134</v>
      </c>
      <c r="C4" s="5" t="s">
        <v>135</v>
      </c>
      <c r="D4" s="294" t="s">
        <v>17</v>
      </c>
      <c r="E4" s="273"/>
      <c r="F4" s="273"/>
      <c r="G4" s="273"/>
      <c r="H4" s="274"/>
    </row>
    <row r="5" spans="1:8" ht="31.15" customHeight="1">
      <c r="A5" s="51">
        <v>17.2</v>
      </c>
      <c r="B5" s="31" t="s">
        <v>173</v>
      </c>
      <c r="C5" s="6" t="s">
        <v>135</v>
      </c>
      <c r="D5" s="52"/>
      <c r="E5" s="52"/>
      <c r="F5" s="63"/>
      <c r="G5" s="63"/>
      <c r="H5" s="63"/>
    </row>
    <row r="6" spans="1:8" ht="26.45" customHeight="1">
      <c r="A6" s="51"/>
      <c r="B6" s="6" t="s">
        <v>18</v>
      </c>
      <c r="C6" s="20" t="s">
        <v>35</v>
      </c>
      <c r="D6" s="14">
        <v>54</v>
      </c>
      <c r="E6" s="15">
        <v>60</v>
      </c>
      <c r="F6" s="15">
        <v>46</v>
      </c>
      <c r="G6" s="15">
        <v>46</v>
      </c>
      <c r="H6" s="15">
        <v>66</v>
      </c>
    </row>
    <row r="7" spans="1:8" ht="26.45" customHeight="1">
      <c r="A7" s="51"/>
      <c r="B7" s="6" t="s">
        <v>19</v>
      </c>
      <c r="C7" s="20" t="s">
        <v>35</v>
      </c>
      <c r="D7" s="15">
        <v>1333</v>
      </c>
      <c r="E7" s="15">
        <v>1355</v>
      </c>
      <c r="F7" s="15">
        <v>928</v>
      </c>
      <c r="G7" s="15">
        <v>538</v>
      </c>
      <c r="H7" s="15">
        <v>674</v>
      </c>
    </row>
    <row r="8" spans="1:8" ht="26.45" customHeight="1">
      <c r="A8" s="51"/>
      <c r="B8" s="6" t="s">
        <v>20</v>
      </c>
      <c r="C8" s="20" t="s">
        <v>35</v>
      </c>
      <c r="D8" s="15">
        <v>42</v>
      </c>
      <c r="E8" s="15">
        <v>75</v>
      </c>
      <c r="F8" s="15">
        <v>156</v>
      </c>
      <c r="G8" s="15">
        <v>143</v>
      </c>
      <c r="H8" s="15">
        <v>117</v>
      </c>
    </row>
    <row r="9" spans="1:8" ht="31.5" customHeight="1">
      <c r="A9" s="53">
        <v>19</v>
      </c>
      <c r="B9" s="32" t="s">
        <v>180</v>
      </c>
      <c r="C9" s="20" t="s">
        <v>183</v>
      </c>
      <c r="D9" s="24">
        <v>58.384999999999998</v>
      </c>
      <c r="E9" s="65">
        <v>83.759</v>
      </c>
      <c r="F9" s="65">
        <v>98.209000000000003</v>
      </c>
      <c r="G9" s="65">
        <v>99.738</v>
      </c>
      <c r="H9" s="65">
        <v>99.41</v>
      </c>
    </row>
    <row r="10" spans="1:8" ht="26.45" customHeight="1">
      <c r="A10" s="51">
        <v>19.100000000000001</v>
      </c>
      <c r="B10" s="33" t="s">
        <v>136</v>
      </c>
      <c r="C10" s="6" t="s">
        <v>110</v>
      </c>
      <c r="D10" s="24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ht="26.45" customHeight="1">
      <c r="A11" s="51">
        <v>19.2</v>
      </c>
      <c r="B11" s="33" t="s">
        <v>137</v>
      </c>
      <c r="C11" s="6" t="s">
        <v>110</v>
      </c>
      <c r="D11" s="24">
        <v>0</v>
      </c>
      <c r="E11" s="65">
        <v>0</v>
      </c>
      <c r="F11" s="65">
        <v>0</v>
      </c>
      <c r="G11" s="65">
        <v>0</v>
      </c>
      <c r="H11" s="65">
        <v>0</v>
      </c>
    </row>
    <row r="12" spans="1:8" ht="26.45" customHeight="1">
      <c r="A12" s="51">
        <v>19.3</v>
      </c>
      <c r="B12" s="33" t="s">
        <v>138</v>
      </c>
      <c r="C12" s="6" t="s">
        <v>110</v>
      </c>
      <c r="D12" s="25" t="s">
        <v>9</v>
      </c>
      <c r="E12" s="25" t="s">
        <v>9</v>
      </c>
      <c r="F12" s="25" t="s">
        <v>9</v>
      </c>
      <c r="G12" s="25"/>
      <c r="H12" s="25" t="s">
        <v>9</v>
      </c>
    </row>
    <row r="13" spans="1:8" ht="30.6" customHeight="1">
      <c r="A13" s="51">
        <v>19.399999999999999</v>
      </c>
      <c r="B13" s="33" t="s">
        <v>139</v>
      </c>
      <c r="C13" s="6" t="s">
        <v>110</v>
      </c>
      <c r="D13" s="25" t="s">
        <v>9</v>
      </c>
      <c r="E13" s="25" t="s">
        <v>9</v>
      </c>
      <c r="F13" s="25" t="s">
        <v>9</v>
      </c>
      <c r="G13" s="25"/>
      <c r="H13" s="25" t="s">
        <v>9</v>
      </c>
    </row>
    <row r="14" spans="1:8" ht="26.45" customHeight="1">
      <c r="A14" s="51">
        <v>19.5</v>
      </c>
      <c r="B14" s="33" t="s">
        <v>140</v>
      </c>
      <c r="C14" s="6" t="s">
        <v>141</v>
      </c>
      <c r="D14" s="25" t="s">
        <v>9</v>
      </c>
      <c r="E14" s="25" t="s">
        <v>9</v>
      </c>
      <c r="F14" s="25" t="s">
        <v>9</v>
      </c>
      <c r="G14" s="25"/>
      <c r="H14" s="25" t="s">
        <v>9</v>
      </c>
    </row>
    <row r="15" spans="1:8" ht="29.25" customHeight="1">
      <c r="A15" s="53">
        <v>20</v>
      </c>
      <c r="B15" s="32" t="s">
        <v>195</v>
      </c>
      <c r="C15" s="6" t="s">
        <v>142</v>
      </c>
      <c r="D15" s="26">
        <v>1048.0039999999999</v>
      </c>
      <c r="E15" s="65">
        <v>1228.98</v>
      </c>
      <c r="F15" s="65">
        <v>811.64499999999998</v>
      </c>
      <c r="G15" s="65">
        <v>921.255</v>
      </c>
      <c r="H15" s="65">
        <v>1442.059</v>
      </c>
    </row>
    <row r="16" spans="1:8" ht="33.75" customHeight="1">
      <c r="A16" s="53">
        <v>21</v>
      </c>
      <c r="B16" s="33" t="s">
        <v>143</v>
      </c>
      <c r="C16" s="6" t="s">
        <v>144</v>
      </c>
      <c r="D16" s="26">
        <v>3308.973</v>
      </c>
      <c r="E16" s="65">
        <v>3329.5729999999999</v>
      </c>
      <c r="F16" s="65">
        <v>3173.547</v>
      </c>
      <c r="G16" s="65">
        <v>3143.97</v>
      </c>
      <c r="H16" s="65">
        <v>3909.1019999999999</v>
      </c>
    </row>
    <row r="17" spans="1:8" ht="32.25" customHeight="1">
      <c r="A17" s="53">
        <v>22</v>
      </c>
      <c r="B17" s="33" t="s">
        <v>145</v>
      </c>
      <c r="C17" s="6"/>
      <c r="D17" s="27"/>
      <c r="E17" s="27"/>
      <c r="F17" s="27"/>
      <c r="G17" s="27"/>
      <c r="H17" s="27"/>
    </row>
    <row r="18" spans="1:8" ht="26.45" customHeight="1">
      <c r="A18" s="51">
        <v>22.1</v>
      </c>
      <c r="B18" s="33" t="s">
        <v>146</v>
      </c>
      <c r="C18" s="66" t="s">
        <v>209</v>
      </c>
      <c r="D18" s="27">
        <v>281</v>
      </c>
      <c r="E18" s="65">
        <v>270</v>
      </c>
      <c r="F18" s="65">
        <v>247</v>
      </c>
      <c r="G18" s="65">
        <v>237</v>
      </c>
      <c r="H18" s="65">
        <v>218</v>
      </c>
    </row>
    <row r="19" spans="1:8" ht="26.45" customHeight="1">
      <c r="A19" s="51">
        <v>22.2</v>
      </c>
      <c r="B19" s="33" t="s">
        <v>147</v>
      </c>
      <c r="C19" s="66" t="s">
        <v>209</v>
      </c>
      <c r="D19" s="27">
        <v>531</v>
      </c>
      <c r="E19" s="65">
        <v>496</v>
      </c>
      <c r="F19" s="65">
        <v>481</v>
      </c>
      <c r="G19" s="65">
        <v>455</v>
      </c>
      <c r="H19" s="65">
        <v>424</v>
      </c>
    </row>
    <row r="20" spans="1:8" ht="21.6" customHeight="1">
      <c r="A20" s="51">
        <v>22.3</v>
      </c>
      <c r="B20" s="12" t="s">
        <v>148</v>
      </c>
      <c r="C20" s="66" t="s">
        <v>209</v>
      </c>
      <c r="D20" s="27">
        <v>386</v>
      </c>
      <c r="E20" s="65">
        <v>346</v>
      </c>
      <c r="F20" s="65">
        <v>340</v>
      </c>
      <c r="G20" s="65">
        <v>298</v>
      </c>
      <c r="H20" s="65">
        <v>248</v>
      </c>
    </row>
    <row r="21" spans="1:8" ht="30" customHeight="1">
      <c r="A21" s="53">
        <v>23</v>
      </c>
      <c r="B21" s="33" t="s">
        <v>149</v>
      </c>
      <c r="C21" s="6" t="s">
        <v>150</v>
      </c>
      <c r="D21" s="24">
        <f>ROUND(SUM(D18:D20)/630,2)</f>
        <v>1.9</v>
      </c>
      <c r="E21" s="24">
        <f t="shared" ref="E21:H21" si="0">ROUND(SUM(E18:E20)/630,2)</f>
        <v>1.77</v>
      </c>
      <c r="F21" s="24">
        <f t="shared" si="0"/>
        <v>1.7</v>
      </c>
      <c r="G21" s="24">
        <f t="shared" si="0"/>
        <v>1.57</v>
      </c>
      <c r="H21" s="24">
        <f t="shared" si="0"/>
        <v>1.41</v>
      </c>
    </row>
    <row r="22" spans="1:8" ht="30" customHeight="1">
      <c r="A22" s="1" t="s">
        <v>151</v>
      </c>
      <c r="B22" s="13"/>
      <c r="D22" s="13"/>
      <c r="E22" s="13"/>
      <c r="F22" s="13"/>
      <c r="G22" s="13"/>
      <c r="H22" s="13"/>
    </row>
    <row r="23" spans="1:8" ht="21.6" customHeight="1">
      <c r="A23" s="54" t="s">
        <v>157</v>
      </c>
      <c r="B23" s="295" t="s">
        <v>197</v>
      </c>
      <c r="C23" s="295"/>
      <c r="D23" s="295"/>
      <c r="E23" s="295"/>
      <c r="F23" s="295"/>
      <c r="G23" s="295"/>
      <c r="H23" s="295"/>
    </row>
    <row r="24" spans="1:8" ht="15.6" customHeight="1">
      <c r="A24" s="54" t="s">
        <v>27</v>
      </c>
      <c r="B24" s="295" t="s">
        <v>28</v>
      </c>
      <c r="C24" s="295"/>
      <c r="D24" s="295"/>
      <c r="E24" s="295"/>
      <c r="F24" s="295"/>
      <c r="G24" s="295"/>
      <c r="H24" s="295"/>
    </row>
    <row r="25" spans="1:8">
      <c r="A25" s="41" t="s">
        <v>152</v>
      </c>
      <c r="B25" s="34" t="s">
        <v>176</v>
      </c>
    </row>
    <row r="26" spans="1:8" ht="40.700000000000003" hidden="1" customHeight="1">
      <c r="A26" s="292" t="s">
        <v>175</v>
      </c>
      <c r="B26" s="293"/>
      <c r="C26" s="293"/>
      <c r="D26" s="293"/>
      <c r="E26" s="293"/>
      <c r="F26" s="293"/>
      <c r="G26" s="293"/>
      <c r="H26" s="293"/>
    </row>
    <row r="27" spans="1:8" hidden="1">
      <c r="A27" s="41" t="s">
        <v>153</v>
      </c>
    </row>
    <row r="28" spans="1:8" hidden="1">
      <c r="A28" s="41" t="s">
        <v>154</v>
      </c>
    </row>
    <row r="29" spans="1:8" ht="28.9" hidden="1" customHeight="1">
      <c r="A29" s="292" t="s">
        <v>177</v>
      </c>
      <c r="B29" s="293"/>
      <c r="C29" s="293"/>
      <c r="D29" s="293"/>
      <c r="E29" s="293"/>
      <c r="F29" s="293"/>
      <c r="G29" s="293"/>
      <c r="H29" s="293"/>
    </row>
    <row r="30" spans="1:8" hidden="1">
      <c r="A30" s="41" t="s">
        <v>155</v>
      </c>
    </row>
    <row r="31" spans="1:8" ht="28.15" hidden="1" customHeight="1">
      <c r="A31" s="292" t="s">
        <v>178</v>
      </c>
      <c r="B31" s="293"/>
      <c r="C31" s="293"/>
      <c r="D31" s="293"/>
      <c r="E31" s="293"/>
      <c r="F31" s="293"/>
      <c r="G31" s="293"/>
      <c r="H31" s="293"/>
    </row>
    <row r="32" spans="1:8" hidden="1">
      <c r="A32" s="58" t="s">
        <v>179</v>
      </c>
    </row>
  </sheetData>
  <mergeCells count="6">
    <mergeCell ref="A31:H31"/>
    <mergeCell ref="A29:H29"/>
    <mergeCell ref="D4:H4"/>
    <mergeCell ref="B23:H23"/>
    <mergeCell ref="B24:H24"/>
    <mergeCell ref="A26:H26"/>
  </mergeCells>
  <pageMargins left="0.31496062992125984" right="0.31496062992125984" top="0.74803149606299213" bottom="0.74803149606299213" header="0" footer="0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35"/>
  <sheetViews>
    <sheetView workbookViewId="0">
      <selection activeCell="K5" sqref="K5"/>
    </sheetView>
  </sheetViews>
  <sheetFormatPr defaultColWidth="8.83203125" defaultRowHeight="15"/>
  <cols>
    <col min="1" max="1" width="7.5" style="45" customWidth="1"/>
    <col min="2" max="2" width="44.6640625" style="1" customWidth="1"/>
    <col min="3" max="3" width="8.6640625" style="1" customWidth="1"/>
    <col min="4" max="8" width="13.1640625" style="1" customWidth="1"/>
    <col min="9" max="9" width="21.83203125" style="1" hidden="1" customWidth="1"/>
    <col min="10" max="10" width="12.6640625" style="1" bestFit="1" customWidth="1"/>
    <col min="11" max="11" width="11.5" style="1" bestFit="1" customWidth="1"/>
    <col min="12" max="15" width="11.1640625" style="1" bestFit="1" customWidth="1"/>
    <col min="16" max="16" width="12.33203125" style="1" bestFit="1" customWidth="1"/>
    <col min="17" max="16384" width="8.83203125" style="1"/>
  </cols>
  <sheetData>
    <row r="1" spans="1:10">
      <c r="G1" s="1" t="s">
        <v>38</v>
      </c>
    </row>
    <row r="2" spans="1:10" ht="35.25" customHeight="1">
      <c r="A2" s="249" t="s">
        <v>0</v>
      </c>
      <c r="B2" s="250"/>
      <c r="C2" s="250"/>
      <c r="D2" s="250"/>
      <c r="E2" s="250"/>
      <c r="F2" s="250"/>
      <c r="G2" s="250"/>
      <c r="H2" s="250"/>
    </row>
    <row r="3" spans="1:10">
      <c r="A3" s="46"/>
      <c r="B3" s="39" t="s">
        <v>39</v>
      </c>
      <c r="C3" s="106" t="s">
        <v>40</v>
      </c>
      <c r="D3" s="106" t="s">
        <v>41</v>
      </c>
      <c r="E3" s="106" t="s">
        <v>42</v>
      </c>
      <c r="F3" s="106" t="s">
        <v>43</v>
      </c>
      <c r="G3" s="106" t="s">
        <v>44</v>
      </c>
      <c r="H3" s="106" t="s">
        <v>45</v>
      </c>
      <c r="I3" s="16" t="s">
        <v>29</v>
      </c>
    </row>
    <row r="4" spans="1:10" ht="15.75">
      <c r="A4" s="112">
        <v>1</v>
      </c>
      <c r="B4" s="81" t="s">
        <v>229</v>
      </c>
      <c r="C4" s="113"/>
      <c r="D4" s="263" t="s">
        <v>199</v>
      </c>
      <c r="E4" s="264"/>
      <c r="F4" s="264"/>
      <c r="G4" s="264"/>
      <c r="H4" s="265"/>
    </row>
    <row r="5" spans="1:10" ht="31.5">
      <c r="A5" s="112">
        <v>2</v>
      </c>
      <c r="B5" s="82" t="s">
        <v>158</v>
      </c>
      <c r="C5" s="113"/>
      <c r="D5" s="263" t="s">
        <v>230</v>
      </c>
      <c r="E5" s="264"/>
      <c r="F5" s="264"/>
      <c r="G5" s="264"/>
      <c r="H5" s="265"/>
    </row>
    <row r="6" spans="1:10" ht="15.75" customHeight="1">
      <c r="A6" s="112">
        <v>3</v>
      </c>
      <c r="B6" s="81" t="s">
        <v>231</v>
      </c>
      <c r="C6" s="113" t="s">
        <v>232</v>
      </c>
      <c r="D6" s="260" t="s">
        <v>233</v>
      </c>
      <c r="E6" s="261"/>
      <c r="F6" s="261"/>
      <c r="G6" s="261"/>
      <c r="H6" s="262"/>
    </row>
    <row r="7" spans="1:10" ht="143.25" customHeight="1">
      <c r="A7" s="112">
        <v>4</v>
      </c>
      <c r="B7" s="81" t="s">
        <v>234</v>
      </c>
      <c r="C7" s="113"/>
      <c r="D7" s="260" t="s">
        <v>235</v>
      </c>
      <c r="E7" s="261"/>
      <c r="F7" s="261"/>
      <c r="G7" s="261"/>
      <c r="H7" s="262"/>
    </row>
    <row r="8" spans="1:10" ht="15.75">
      <c r="A8" s="112">
        <v>5</v>
      </c>
      <c r="B8" s="81" t="s">
        <v>236</v>
      </c>
      <c r="C8" s="113"/>
      <c r="D8" s="269" t="s">
        <v>2</v>
      </c>
      <c r="E8" s="270"/>
      <c r="F8" s="270"/>
      <c r="G8" s="270"/>
      <c r="H8" s="271"/>
    </row>
    <row r="9" spans="1:10" ht="15.75">
      <c r="A9" s="112">
        <v>6</v>
      </c>
      <c r="B9" s="81" t="s">
        <v>237</v>
      </c>
      <c r="C9" s="113"/>
      <c r="D9" s="269" t="s">
        <v>200</v>
      </c>
      <c r="E9" s="270"/>
      <c r="F9" s="270"/>
      <c r="G9" s="270"/>
      <c r="H9" s="271"/>
    </row>
    <row r="10" spans="1:10" ht="15.75">
      <c r="A10" s="112">
        <v>7</v>
      </c>
      <c r="B10" s="81" t="s">
        <v>238</v>
      </c>
      <c r="C10" s="114"/>
      <c r="D10" s="269" t="s">
        <v>201</v>
      </c>
      <c r="E10" s="270"/>
      <c r="F10" s="270"/>
      <c r="G10" s="270"/>
      <c r="H10" s="271"/>
      <c r="I10" s="16"/>
    </row>
    <row r="11" spans="1:10" ht="15.75">
      <c r="A11" s="112">
        <v>8</v>
      </c>
      <c r="B11" s="81" t="s">
        <v>239</v>
      </c>
      <c r="C11" s="115"/>
      <c r="D11" s="269"/>
      <c r="E11" s="270"/>
      <c r="F11" s="270"/>
      <c r="G11" s="270"/>
      <c r="H11" s="271"/>
      <c r="I11" s="16"/>
    </row>
    <row r="12" spans="1:10" ht="15.75">
      <c r="A12" s="116">
        <v>8.1</v>
      </c>
      <c r="B12" s="117" t="s">
        <v>240</v>
      </c>
      <c r="C12" s="118"/>
      <c r="D12" s="269" t="s">
        <v>1</v>
      </c>
      <c r="E12" s="270"/>
      <c r="F12" s="270"/>
      <c r="G12" s="270"/>
      <c r="H12" s="271"/>
      <c r="I12" s="17"/>
    </row>
    <row r="13" spans="1:10" ht="39.75" customHeight="1">
      <c r="A13" s="119" t="s">
        <v>241</v>
      </c>
      <c r="B13" s="119" t="s">
        <v>242</v>
      </c>
      <c r="C13" s="120" t="s">
        <v>222</v>
      </c>
      <c r="D13" s="228" t="s">
        <v>243</v>
      </c>
      <c r="E13" s="229"/>
      <c r="F13" s="229"/>
      <c r="G13" s="229"/>
      <c r="H13" s="230"/>
      <c r="I13" s="102" t="s">
        <v>30</v>
      </c>
      <c r="J13" s="2"/>
    </row>
    <row r="14" spans="1:10" ht="47.25" customHeight="1">
      <c r="A14" s="113" t="s">
        <v>244</v>
      </c>
      <c r="B14" s="121" t="s">
        <v>245</v>
      </c>
      <c r="C14" s="113"/>
      <c r="D14" s="228" t="s">
        <v>246</v>
      </c>
      <c r="E14" s="229"/>
      <c r="F14" s="229"/>
      <c r="G14" s="229"/>
      <c r="H14" s="230"/>
      <c r="I14" s="18"/>
    </row>
    <row r="15" spans="1:10" ht="15.75">
      <c r="A15" s="122" t="s">
        <v>196</v>
      </c>
      <c r="B15" s="123" t="s">
        <v>214</v>
      </c>
      <c r="C15" s="114" t="s">
        <v>247</v>
      </c>
      <c r="D15" s="296"/>
      <c r="E15" s="297"/>
      <c r="F15" s="297"/>
      <c r="G15" s="297"/>
      <c r="H15" s="298"/>
      <c r="I15" s="16"/>
    </row>
    <row r="16" spans="1:10" ht="15.75">
      <c r="A16" s="124" t="s">
        <v>196</v>
      </c>
      <c r="B16" s="81" t="s">
        <v>215</v>
      </c>
      <c r="C16" s="115" t="s">
        <v>247</v>
      </c>
      <c r="D16" s="296"/>
      <c r="E16" s="297"/>
      <c r="F16" s="297"/>
      <c r="G16" s="297"/>
      <c r="H16" s="298"/>
      <c r="I16" s="16"/>
    </row>
    <row r="17" spans="1:9" ht="15.75">
      <c r="A17" s="124" t="s">
        <v>196</v>
      </c>
      <c r="B17" s="81" t="s">
        <v>216</v>
      </c>
      <c r="C17" s="115" t="s">
        <v>247</v>
      </c>
      <c r="D17" s="296"/>
      <c r="E17" s="297"/>
      <c r="F17" s="297"/>
      <c r="G17" s="297"/>
      <c r="H17" s="298"/>
      <c r="I17" s="16"/>
    </row>
    <row r="18" spans="1:9" ht="31.5" customHeight="1">
      <c r="A18" s="125" t="s">
        <v>248</v>
      </c>
      <c r="B18" s="82" t="s">
        <v>159</v>
      </c>
      <c r="C18" s="115" t="s">
        <v>249</v>
      </c>
      <c r="D18" s="225" t="s">
        <v>202</v>
      </c>
      <c r="E18" s="226"/>
      <c r="F18" s="226"/>
      <c r="G18" s="226"/>
      <c r="H18" s="227"/>
      <c r="I18" s="16"/>
    </row>
    <row r="19" spans="1:9" ht="31.5">
      <c r="A19" s="125" t="s">
        <v>250</v>
      </c>
      <c r="B19" s="82" t="s">
        <v>224</v>
      </c>
      <c r="C19" s="115"/>
      <c r="D19" s="225" t="s">
        <v>5</v>
      </c>
      <c r="E19" s="226"/>
      <c r="F19" s="226"/>
      <c r="G19" s="226"/>
      <c r="H19" s="227"/>
      <c r="I19" s="16"/>
    </row>
    <row r="20" spans="1:9" ht="31.5" customHeight="1">
      <c r="A20" s="125" t="s">
        <v>251</v>
      </c>
      <c r="B20" s="81" t="s">
        <v>252</v>
      </c>
      <c r="C20" s="115" t="s">
        <v>253</v>
      </c>
      <c r="D20" s="225" t="s">
        <v>254</v>
      </c>
      <c r="E20" s="226"/>
      <c r="F20" s="226"/>
      <c r="G20" s="226"/>
      <c r="H20" s="227"/>
      <c r="I20" s="16"/>
    </row>
    <row r="21" spans="1:9" ht="31.5" customHeight="1">
      <c r="A21" s="125" t="s">
        <v>255</v>
      </c>
      <c r="B21" s="82" t="s">
        <v>22</v>
      </c>
      <c r="C21" s="115"/>
      <c r="D21" s="84">
        <v>271313.72857142938</v>
      </c>
      <c r="E21" s="84">
        <v>213298.57142857145</v>
      </c>
      <c r="F21" s="84">
        <v>603127.02930675738</v>
      </c>
      <c r="G21" s="84">
        <v>705807.8191155392</v>
      </c>
      <c r="H21" s="84">
        <v>1234202.0570448241</v>
      </c>
      <c r="I21" s="222" t="s">
        <v>31</v>
      </c>
    </row>
    <row r="22" spans="1:9" ht="31.5">
      <c r="A22" s="125" t="s">
        <v>256</v>
      </c>
      <c r="B22" s="81" t="s">
        <v>257</v>
      </c>
      <c r="C22" s="115"/>
      <c r="D22" s="126">
        <f>94376</f>
        <v>94376</v>
      </c>
      <c r="E22" s="126">
        <f>96416</f>
        <v>96416</v>
      </c>
      <c r="F22" s="126">
        <f>91230</f>
        <v>91230</v>
      </c>
      <c r="G22" s="126">
        <f>92983</f>
        <v>92983</v>
      </c>
      <c r="H22" s="126">
        <f>92615</f>
        <v>92615</v>
      </c>
      <c r="I22" s="223"/>
    </row>
    <row r="23" spans="1:9" ht="15.75">
      <c r="A23" s="125" t="s">
        <v>258</v>
      </c>
      <c r="B23" s="81" t="s">
        <v>259</v>
      </c>
      <c r="C23" s="115"/>
      <c r="D23" s="126">
        <v>182844.86428571469</v>
      </c>
      <c r="E23" s="126">
        <v>154857.28571428574</v>
      </c>
      <c r="F23" s="126">
        <v>347178.51465337869</v>
      </c>
      <c r="G23" s="126">
        <v>399395.4095577696</v>
      </c>
      <c r="H23" s="126">
        <v>663408.52852241206</v>
      </c>
      <c r="I23" s="224"/>
    </row>
    <row r="24" spans="1:9" ht="15.75" customHeight="1">
      <c r="A24" s="127">
        <v>8.1999999999999993</v>
      </c>
      <c r="B24" s="81" t="s">
        <v>260</v>
      </c>
      <c r="C24" s="115"/>
      <c r="D24" s="302" t="s">
        <v>261</v>
      </c>
      <c r="E24" s="303"/>
      <c r="F24" s="303"/>
      <c r="G24" s="303"/>
      <c r="H24" s="304"/>
      <c r="I24" s="16"/>
    </row>
    <row r="25" spans="1:9" ht="30" customHeight="1">
      <c r="A25" s="125" t="s">
        <v>262</v>
      </c>
      <c r="B25" s="82" t="s">
        <v>169</v>
      </c>
      <c r="C25" s="128" t="s">
        <v>170</v>
      </c>
      <c r="D25" s="246" t="s">
        <v>263</v>
      </c>
      <c r="E25" s="247"/>
      <c r="F25" s="247"/>
      <c r="G25" s="247"/>
      <c r="H25" s="248"/>
      <c r="I25" s="104" t="s">
        <v>32</v>
      </c>
    </row>
    <row r="26" spans="1:9" ht="15.75" customHeight="1">
      <c r="A26" s="125" t="s">
        <v>264</v>
      </c>
      <c r="B26" s="81" t="s">
        <v>265</v>
      </c>
      <c r="C26" s="115"/>
      <c r="D26" s="305" t="s">
        <v>203</v>
      </c>
      <c r="E26" s="306"/>
      <c r="F26" s="306"/>
      <c r="G26" s="306"/>
      <c r="H26" s="307"/>
      <c r="I26" s="16"/>
    </row>
    <row r="27" spans="1:9" ht="31.5">
      <c r="A27" s="125" t="s">
        <v>266</v>
      </c>
      <c r="B27" s="82" t="s">
        <v>159</v>
      </c>
      <c r="C27" s="128" t="s">
        <v>185</v>
      </c>
      <c r="D27" s="260" t="s">
        <v>204</v>
      </c>
      <c r="E27" s="261"/>
      <c r="F27" s="261"/>
      <c r="G27" s="261"/>
      <c r="H27" s="262"/>
      <c r="I27" s="16"/>
    </row>
    <row r="28" spans="1:9" ht="47.25">
      <c r="A28" s="125" t="s">
        <v>267</v>
      </c>
      <c r="B28" s="82" t="s">
        <v>4</v>
      </c>
      <c r="C28" s="115"/>
      <c r="D28" s="260" t="s">
        <v>205</v>
      </c>
      <c r="E28" s="261"/>
      <c r="F28" s="261"/>
      <c r="G28" s="261"/>
      <c r="H28" s="262"/>
      <c r="I28" s="16"/>
    </row>
    <row r="29" spans="1:9" ht="31.5" customHeight="1">
      <c r="A29" s="125" t="s">
        <v>268</v>
      </c>
      <c r="B29" s="81" t="s">
        <v>269</v>
      </c>
      <c r="C29" s="115" t="s">
        <v>270</v>
      </c>
      <c r="D29" s="260" t="s">
        <v>206</v>
      </c>
      <c r="E29" s="261"/>
      <c r="F29" s="261"/>
      <c r="G29" s="261"/>
      <c r="H29" s="262"/>
      <c r="I29" s="16"/>
    </row>
    <row r="30" spans="1:9" ht="31.5">
      <c r="A30" s="125" t="s">
        <v>271</v>
      </c>
      <c r="B30" s="81" t="s">
        <v>272</v>
      </c>
      <c r="C30" s="115" t="s">
        <v>273</v>
      </c>
      <c r="D30" s="129">
        <v>987.07</v>
      </c>
      <c r="E30" s="129">
        <v>1218.6099999999999</v>
      </c>
      <c r="F30" s="129">
        <v>932.72</v>
      </c>
      <c r="G30" s="129">
        <v>900.09</v>
      </c>
      <c r="H30" s="129">
        <v>1683.91</v>
      </c>
      <c r="I30" s="234" t="s">
        <v>33</v>
      </c>
    </row>
    <row r="31" spans="1:9" ht="31.5">
      <c r="A31" s="125" t="s">
        <v>274</v>
      </c>
      <c r="B31" s="81" t="s">
        <v>275</v>
      </c>
      <c r="C31" s="115" t="s">
        <v>273</v>
      </c>
      <c r="D31" s="129">
        <v>416.81</v>
      </c>
      <c r="E31" s="129">
        <v>429.23</v>
      </c>
      <c r="F31" s="129">
        <v>311.55</v>
      </c>
      <c r="G31" s="129">
        <v>200.83</v>
      </c>
      <c r="H31" s="129">
        <v>717.55</v>
      </c>
      <c r="I31" s="235"/>
    </row>
    <row r="32" spans="1:9" ht="31.5">
      <c r="A32" s="125" t="s">
        <v>276</v>
      </c>
      <c r="B32" s="81" t="s">
        <v>277</v>
      </c>
      <c r="C32" s="115" t="s">
        <v>273</v>
      </c>
      <c r="D32" s="129">
        <v>700.32</v>
      </c>
      <c r="E32" s="129">
        <v>778.86</v>
      </c>
      <c r="F32" s="129">
        <v>636.41999999999996</v>
      </c>
      <c r="G32" s="129">
        <v>597.02</v>
      </c>
      <c r="H32" s="129">
        <v>1218.1600000000001</v>
      </c>
      <c r="I32" s="236"/>
    </row>
    <row r="33" spans="1:9" ht="15.75">
      <c r="A33" s="130">
        <v>9</v>
      </c>
      <c r="B33" s="81" t="s">
        <v>278</v>
      </c>
      <c r="C33" s="115"/>
      <c r="D33" s="299"/>
      <c r="E33" s="300"/>
      <c r="F33" s="300"/>
      <c r="G33" s="300"/>
      <c r="H33" s="301"/>
      <c r="I33" s="16"/>
    </row>
    <row r="34" spans="1:9" ht="31.5">
      <c r="A34" s="127">
        <v>9.1</v>
      </c>
      <c r="B34" s="81" t="s">
        <v>279</v>
      </c>
      <c r="C34" s="128" t="s">
        <v>186</v>
      </c>
      <c r="D34" s="131"/>
      <c r="E34" s="131"/>
      <c r="F34" s="131"/>
      <c r="G34" s="131"/>
      <c r="H34" s="131"/>
      <c r="I34" s="16"/>
    </row>
    <row r="35" spans="1:9" ht="31.5">
      <c r="A35" s="127">
        <v>9.1999999999999993</v>
      </c>
      <c r="B35" s="81" t="s">
        <v>280</v>
      </c>
      <c r="C35" s="115" t="s">
        <v>281</v>
      </c>
      <c r="D35" s="131"/>
      <c r="E35" s="131"/>
      <c r="F35" s="131"/>
      <c r="G35" s="131"/>
      <c r="H35" s="131"/>
      <c r="I35" s="16"/>
    </row>
  </sheetData>
  <mergeCells count="27">
    <mergeCell ref="D29:H29"/>
    <mergeCell ref="I30:I32"/>
    <mergeCell ref="D33:H33"/>
    <mergeCell ref="I21:I23"/>
    <mergeCell ref="D24:H24"/>
    <mergeCell ref="D25:H25"/>
    <mergeCell ref="D26:H26"/>
    <mergeCell ref="D27:H27"/>
    <mergeCell ref="D28:H28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8:H8"/>
    <mergeCell ref="A2:H2"/>
    <mergeCell ref="D4:H4"/>
    <mergeCell ref="D5:H5"/>
    <mergeCell ref="D6:H6"/>
    <mergeCell ref="D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O64"/>
  <sheetViews>
    <sheetView topLeftCell="A44" workbookViewId="0">
      <selection sqref="A1:I64"/>
    </sheetView>
  </sheetViews>
  <sheetFormatPr defaultColWidth="8.83203125" defaultRowHeight="15"/>
  <cols>
    <col min="1" max="1" width="9.5" style="41" customWidth="1"/>
    <col min="2" max="2" width="19.83203125" style="28" customWidth="1"/>
    <col min="3" max="3" width="19" style="28" customWidth="1"/>
    <col min="4" max="4" width="11.83203125" style="41" customWidth="1"/>
    <col min="5" max="9" width="10.83203125" style="28" customWidth="1"/>
    <col min="10" max="10" width="21.83203125" style="28" hidden="1" customWidth="1"/>
    <col min="11" max="11" width="12.6640625" style="28" bestFit="1" customWidth="1"/>
    <col min="12" max="12" width="11.5" style="28" bestFit="1" customWidth="1"/>
    <col min="13" max="16384" width="8.83203125" style="28"/>
  </cols>
  <sheetData>
    <row r="1" spans="1:12" ht="16.899999999999999" customHeight="1">
      <c r="A1" s="41" t="s">
        <v>198</v>
      </c>
      <c r="B1" s="28" t="s">
        <v>282</v>
      </c>
      <c r="G1" s="35" t="s">
        <v>171</v>
      </c>
      <c r="I1" s="36"/>
      <c r="J1" s="37"/>
    </row>
    <row r="2" spans="1:12" ht="17.100000000000001" customHeight="1">
      <c r="A2" s="7"/>
      <c r="B2" s="289" t="s">
        <v>160</v>
      </c>
      <c r="C2" s="290"/>
      <c r="D2" s="7" t="s">
        <v>161</v>
      </c>
      <c r="E2" s="27" t="s">
        <v>41</v>
      </c>
      <c r="F2" s="27" t="s">
        <v>42</v>
      </c>
      <c r="G2" s="27" t="s">
        <v>43</v>
      </c>
      <c r="H2" s="27" t="s">
        <v>44</v>
      </c>
      <c r="I2" s="27" t="s">
        <v>45</v>
      </c>
      <c r="J2" s="37"/>
    </row>
    <row r="3" spans="1:12" ht="14.25" customHeight="1">
      <c r="A3" s="38">
        <v>10</v>
      </c>
      <c r="B3" s="275" t="s">
        <v>88</v>
      </c>
      <c r="C3" s="276"/>
      <c r="D3" s="7"/>
      <c r="E3" s="33"/>
      <c r="F3" s="33"/>
      <c r="G3" s="33"/>
      <c r="H3" s="33"/>
      <c r="I3" s="33"/>
      <c r="J3" s="37"/>
    </row>
    <row r="4" spans="1:12" ht="27.75" customHeight="1">
      <c r="A4" s="44">
        <v>10.1</v>
      </c>
      <c r="B4" s="275" t="s">
        <v>89</v>
      </c>
      <c r="C4" s="276"/>
      <c r="D4" s="7" t="s">
        <v>90</v>
      </c>
      <c r="E4" s="97">
        <v>6462.3296300000002</v>
      </c>
      <c r="F4" s="97">
        <v>6392.7261799999997</v>
      </c>
      <c r="G4" s="97">
        <v>6335.31185</v>
      </c>
      <c r="H4" s="97">
        <v>5924.4227099999998</v>
      </c>
      <c r="I4" s="97">
        <v>6179.95363</v>
      </c>
      <c r="J4" s="37"/>
    </row>
    <row r="5" spans="1:12" ht="17.100000000000001" customHeight="1">
      <c r="A5" s="44">
        <v>10.199999999999999</v>
      </c>
      <c r="B5" s="275" t="s">
        <v>91</v>
      </c>
      <c r="C5" s="276"/>
      <c r="D5" s="7" t="s">
        <v>90</v>
      </c>
      <c r="E5" s="97">
        <v>5838.2857110000004</v>
      </c>
      <c r="F5" s="97">
        <v>5774.6912540000003</v>
      </c>
      <c r="G5" s="97">
        <v>5726.561334</v>
      </c>
      <c r="H5" s="97">
        <v>5340.6656460000004</v>
      </c>
      <c r="I5" s="97">
        <v>5592.331048</v>
      </c>
      <c r="J5" s="37"/>
    </row>
    <row r="6" spans="1:12" ht="29.25" customHeight="1">
      <c r="A6" s="44" t="s">
        <v>226</v>
      </c>
      <c r="B6" s="275" t="s">
        <v>227</v>
      </c>
      <c r="C6" s="288"/>
      <c r="D6" s="7" t="s">
        <v>228</v>
      </c>
      <c r="E6" s="97">
        <v>5487.9843490000003</v>
      </c>
      <c r="F6" s="97">
        <v>5422.444195</v>
      </c>
      <c r="G6" s="97">
        <v>5381.0498740000003</v>
      </c>
      <c r="H6" s="97">
        <v>4993.3485499999997</v>
      </c>
      <c r="I6" s="97">
        <v>5202.8850929999999</v>
      </c>
      <c r="J6" s="37"/>
    </row>
    <row r="7" spans="1:12" ht="17.100000000000001" customHeight="1">
      <c r="A7" s="44">
        <v>10.3</v>
      </c>
      <c r="B7" s="275" t="s">
        <v>92</v>
      </c>
      <c r="C7" s="276"/>
      <c r="D7" s="7" t="s">
        <v>90</v>
      </c>
      <c r="E7" s="97">
        <v>5424.2785270000004</v>
      </c>
      <c r="F7" s="97">
        <v>5407.2497670000002</v>
      </c>
      <c r="G7" s="97">
        <v>5383.0295960000003</v>
      </c>
      <c r="H7" s="97">
        <v>4993.92058</v>
      </c>
      <c r="I7" s="97">
        <v>5070.0269955000003</v>
      </c>
      <c r="J7" s="37"/>
    </row>
    <row r="8" spans="1:12" ht="17.100000000000001" customHeight="1">
      <c r="A8" s="38">
        <v>11</v>
      </c>
      <c r="B8" s="275" t="s">
        <v>93</v>
      </c>
      <c r="C8" s="276"/>
      <c r="D8" s="7" t="s">
        <v>48</v>
      </c>
      <c r="E8" s="97">
        <v>623.49421793299098</v>
      </c>
      <c r="F8" s="97">
        <v>634.02905251141499</v>
      </c>
      <c r="G8" s="97">
        <v>619.76227168949799</v>
      </c>
      <c r="H8" s="97">
        <v>592.57491438356203</v>
      </c>
      <c r="I8" s="97">
        <v>641.87031963470304</v>
      </c>
      <c r="J8" s="37"/>
    </row>
    <row r="9" spans="1:12" ht="31.15" customHeight="1">
      <c r="A9" s="38">
        <v>12</v>
      </c>
      <c r="B9" s="275" t="s">
        <v>94</v>
      </c>
      <c r="C9" s="276"/>
      <c r="D9" s="7" t="s">
        <v>90</v>
      </c>
      <c r="E9" s="97">
        <v>624.04391899999996</v>
      </c>
      <c r="F9" s="97">
        <v>618.03492600000004</v>
      </c>
      <c r="G9" s="97">
        <v>608.75051599999995</v>
      </c>
      <c r="H9" s="97">
        <v>583.75706400000001</v>
      </c>
      <c r="I9" s="97">
        <v>587.62258199999997</v>
      </c>
      <c r="J9" s="37"/>
    </row>
    <row r="10" spans="1:12" ht="31.15" customHeight="1">
      <c r="A10" s="38">
        <v>13</v>
      </c>
      <c r="B10" s="277" t="s">
        <v>156</v>
      </c>
      <c r="C10" s="276"/>
      <c r="D10" s="7" t="s">
        <v>90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37"/>
      <c r="K10" s="60"/>
      <c r="L10" s="61"/>
    </row>
    <row r="11" spans="1:12" ht="17.100000000000001" customHeight="1">
      <c r="A11" s="38">
        <v>14</v>
      </c>
      <c r="B11" s="275" t="s">
        <v>54</v>
      </c>
      <c r="C11" s="276"/>
      <c r="D11" s="7"/>
      <c r="E11" s="291" t="s">
        <v>1</v>
      </c>
      <c r="F11" s="291"/>
      <c r="G11" s="291"/>
      <c r="H11" s="291"/>
      <c r="I11" s="291"/>
      <c r="J11" s="37"/>
    </row>
    <row r="12" spans="1:12" ht="17.100000000000001" customHeight="1">
      <c r="A12" s="44">
        <v>14.1</v>
      </c>
      <c r="B12" s="275" t="s">
        <v>95</v>
      </c>
      <c r="C12" s="276"/>
      <c r="D12" s="7" t="s">
        <v>7</v>
      </c>
      <c r="E12" s="30"/>
      <c r="F12" s="33"/>
      <c r="G12" s="33"/>
      <c r="H12" s="33"/>
      <c r="I12" s="33"/>
      <c r="J12" s="37"/>
      <c r="K12" s="59"/>
    </row>
    <row r="13" spans="1:12" ht="18.75" customHeight="1">
      <c r="A13" s="278">
        <v>41640</v>
      </c>
      <c r="B13" s="280" t="s">
        <v>10</v>
      </c>
      <c r="C13" s="39" t="s">
        <v>96</v>
      </c>
      <c r="D13" s="7" t="s">
        <v>56</v>
      </c>
      <c r="E13" s="132">
        <v>7070642.8950593797</v>
      </c>
      <c r="F13" s="132">
        <v>6941217.3501477595</v>
      </c>
      <c r="G13" s="132">
        <v>6840685.8967845896</v>
      </c>
      <c r="H13" s="132">
        <v>6443118.3291054703</v>
      </c>
      <c r="I13" s="132">
        <v>6718857.2227835599</v>
      </c>
      <c r="J13" s="37"/>
    </row>
    <row r="14" spans="1:12" ht="18.75" customHeight="1">
      <c r="A14" s="279"/>
      <c r="B14" s="281"/>
      <c r="C14" s="39" t="s">
        <v>97</v>
      </c>
      <c r="D14" s="7" t="s">
        <v>56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37"/>
    </row>
    <row r="15" spans="1:12" ht="17.100000000000001" customHeight="1">
      <c r="A15" s="40">
        <v>41641</v>
      </c>
      <c r="B15" s="275" t="s">
        <v>98</v>
      </c>
      <c r="C15" s="276"/>
      <c r="D15" s="7" t="s">
        <v>56</v>
      </c>
      <c r="E15" s="106" t="s">
        <v>3</v>
      </c>
      <c r="F15" s="106" t="s">
        <v>3</v>
      </c>
      <c r="G15" s="106" t="s">
        <v>3</v>
      </c>
      <c r="H15" s="106" t="s">
        <v>3</v>
      </c>
      <c r="I15" s="106" t="s">
        <v>3</v>
      </c>
      <c r="J15" s="37"/>
    </row>
    <row r="16" spans="1:12" ht="17.100000000000001" customHeight="1">
      <c r="A16" s="40">
        <v>41642</v>
      </c>
      <c r="B16" s="275" t="s">
        <v>99</v>
      </c>
      <c r="C16" s="276"/>
      <c r="D16" s="7" t="s">
        <v>56</v>
      </c>
      <c r="E16" s="106" t="s">
        <v>3</v>
      </c>
      <c r="F16" s="106" t="s">
        <v>3</v>
      </c>
      <c r="G16" s="106" t="s">
        <v>3</v>
      </c>
      <c r="H16" s="106" t="s">
        <v>3</v>
      </c>
      <c r="I16" s="106" t="s">
        <v>3</v>
      </c>
      <c r="J16" s="37"/>
    </row>
    <row r="17" spans="1:15">
      <c r="A17" s="44">
        <v>14.2</v>
      </c>
      <c r="B17" s="275" t="s">
        <v>100</v>
      </c>
      <c r="C17" s="276"/>
      <c r="D17" s="7"/>
      <c r="E17" s="106"/>
      <c r="F17" s="106"/>
      <c r="G17" s="106"/>
      <c r="H17" s="106"/>
      <c r="I17" s="106"/>
      <c r="J17" s="37"/>
    </row>
    <row r="18" spans="1:15">
      <c r="A18" s="308">
        <v>41671</v>
      </c>
      <c r="B18" s="311" t="s">
        <v>10</v>
      </c>
      <c r="C18" s="105" t="s">
        <v>101</v>
      </c>
      <c r="D18" s="7" t="s">
        <v>102</v>
      </c>
      <c r="E18" s="99" t="s">
        <v>8</v>
      </c>
      <c r="F18" s="99" t="s">
        <v>9</v>
      </c>
      <c r="G18" s="106" t="s">
        <v>9</v>
      </c>
      <c r="H18" s="106" t="s">
        <v>9</v>
      </c>
      <c r="I18" s="106" t="s">
        <v>9</v>
      </c>
      <c r="J18" s="37"/>
    </row>
    <row r="19" spans="1:15">
      <c r="A19" s="309"/>
      <c r="B19" s="312"/>
      <c r="C19" s="105" t="s">
        <v>103</v>
      </c>
      <c r="D19" s="7" t="s">
        <v>102</v>
      </c>
      <c r="E19" s="97">
        <v>2619.4699999999998</v>
      </c>
      <c r="F19" s="97">
        <v>2626.98</v>
      </c>
      <c r="G19" s="97">
        <v>2627.9</v>
      </c>
      <c r="H19" s="97">
        <v>2621.44</v>
      </c>
      <c r="I19" s="97">
        <v>2627.67</v>
      </c>
      <c r="J19" s="37"/>
    </row>
    <row r="20" spans="1:15">
      <c r="A20" s="310"/>
      <c r="B20" s="313"/>
      <c r="C20" s="105" t="s">
        <v>104</v>
      </c>
      <c r="D20" s="7" t="s">
        <v>102</v>
      </c>
      <c r="E20" s="99" t="s">
        <v>8</v>
      </c>
      <c r="F20" s="99" t="s">
        <v>9</v>
      </c>
      <c r="G20" s="106" t="s">
        <v>9</v>
      </c>
      <c r="H20" s="106" t="s">
        <v>9</v>
      </c>
      <c r="I20" s="106" t="s">
        <v>9</v>
      </c>
      <c r="J20" s="37"/>
    </row>
    <row r="21" spans="1:15">
      <c r="A21" s="278">
        <v>41672</v>
      </c>
      <c r="B21" s="311" t="s">
        <v>21</v>
      </c>
      <c r="C21" s="105" t="s">
        <v>101</v>
      </c>
      <c r="D21" s="7" t="s">
        <v>102</v>
      </c>
      <c r="E21" s="106" t="s">
        <v>3</v>
      </c>
      <c r="F21" s="106" t="s">
        <v>3</v>
      </c>
      <c r="G21" s="106" t="s">
        <v>3</v>
      </c>
      <c r="H21" s="106" t="s">
        <v>3</v>
      </c>
      <c r="I21" s="106" t="s">
        <v>3</v>
      </c>
      <c r="J21" s="37"/>
    </row>
    <row r="22" spans="1:15">
      <c r="A22" s="279"/>
      <c r="B22" s="313"/>
      <c r="C22" s="105" t="s">
        <v>103</v>
      </c>
      <c r="D22" s="7" t="s">
        <v>102</v>
      </c>
      <c r="E22" s="106" t="s">
        <v>3</v>
      </c>
      <c r="F22" s="106" t="s">
        <v>3</v>
      </c>
      <c r="G22" s="106" t="s">
        <v>3</v>
      </c>
      <c r="H22" s="106" t="s">
        <v>3</v>
      </c>
      <c r="I22" s="106" t="s">
        <v>3</v>
      </c>
      <c r="J22" s="37"/>
    </row>
    <row r="23" spans="1:15">
      <c r="A23" s="278">
        <v>41673</v>
      </c>
      <c r="B23" s="287" t="s">
        <v>194</v>
      </c>
      <c r="C23" s="105" t="s">
        <v>101</v>
      </c>
      <c r="D23" s="7" t="s">
        <v>102</v>
      </c>
      <c r="E23" s="106" t="s">
        <v>3</v>
      </c>
      <c r="F23" s="106" t="s">
        <v>3</v>
      </c>
      <c r="G23" s="106" t="s">
        <v>3</v>
      </c>
      <c r="H23" s="106" t="s">
        <v>3</v>
      </c>
      <c r="I23" s="106" t="s">
        <v>3</v>
      </c>
      <c r="J23" s="37"/>
    </row>
    <row r="24" spans="1:15">
      <c r="A24" s="279"/>
      <c r="B24" s="281"/>
      <c r="C24" s="105" t="s">
        <v>103</v>
      </c>
      <c r="D24" s="7" t="s">
        <v>102</v>
      </c>
      <c r="E24" s="106" t="s">
        <v>3</v>
      </c>
      <c r="F24" s="106" t="s">
        <v>3</v>
      </c>
      <c r="G24" s="106" t="s">
        <v>3</v>
      </c>
      <c r="H24" s="106" t="s">
        <v>3</v>
      </c>
      <c r="I24" s="106" t="s">
        <v>3</v>
      </c>
      <c r="J24" s="37"/>
    </row>
    <row r="25" spans="1:15">
      <c r="A25" s="40">
        <v>41674</v>
      </c>
      <c r="B25" s="277" t="s">
        <v>162</v>
      </c>
      <c r="C25" s="276"/>
      <c r="D25" s="7" t="s">
        <v>102</v>
      </c>
      <c r="E25" s="99" t="s">
        <v>8</v>
      </c>
      <c r="F25" s="99" t="s">
        <v>9</v>
      </c>
      <c r="G25" s="106" t="s">
        <v>9</v>
      </c>
      <c r="H25" s="106" t="s">
        <v>9</v>
      </c>
      <c r="I25" s="106" t="s">
        <v>9</v>
      </c>
      <c r="J25" s="37"/>
    </row>
    <row r="26" spans="1:15">
      <c r="A26" s="40">
        <v>41675</v>
      </c>
      <c r="B26" s="277" t="s">
        <v>163</v>
      </c>
      <c r="C26" s="276"/>
      <c r="D26" s="7" t="s">
        <v>102</v>
      </c>
      <c r="E26" s="97">
        <v>2619.4699999999998</v>
      </c>
      <c r="F26" s="97">
        <v>2626.98</v>
      </c>
      <c r="G26" s="97">
        <v>2627.9</v>
      </c>
      <c r="H26" s="97">
        <v>2621.44</v>
      </c>
      <c r="I26" s="97">
        <v>2627.67</v>
      </c>
      <c r="J26" s="37"/>
    </row>
    <row r="27" spans="1:15">
      <c r="A27" s="40">
        <v>41676</v>
      </c>
      <c r="B27" s="277" t="s">
        <v>164</v>
      </c>
      <c r="C27" s="276"/>
      <c r="D27" s="7" t="s">
        <v>102</v>
      </c>
      <c r="E27" s="99" t="s">
        <v>8</v>
      </c>
      <c r="F27" s="99" t="s">
        <v>9</v>
      </c>
      <c r="G27" s="106" t="s">
        <v>9</v>
      </c>
      <c r="H27" s="106" t="s">
        <v>9</v>
      </c>
      <c r="I27" s="106" t="s">
        <v>9</v>
      </c>
      <c r="J27" s="37"/>
    </row>
    <row r="28" spans="1:15">
      <c r="A28" s="44">
        <v>14.3</v>
      </c>
      <c r="B28" s="275" t="s">
        <v>105</v>
      </c>
      <c r="C28" s="276"/>
      <c r="D28" s="7"/>
      <c r="E28" s="106"/>
      <c r="F28" s="106"/>
      <c r="G28" s="106"/>
      <c r="H28" s="106"/>
      <c r="I28" s="106"/>
      <c r="J28" s="37"/>
    </row>
    <row r="29" spans="1:15">
      <c r="A29" s="40">
        <v>41699</v>
      </c>
      <c r="B29" s="277" t="s">
        <v>165</v>
      </c>
      <c r="C29" s="276"/>
      <c r="D29" s="8" t="s">
        <v>187</v>
      </c>
      <c r="E29" s="106">
        <v>1674</v>
      </c>
      <c r="F29" s="106">
        <v>1767.89</v>
      </c>
      <c r="G29" s="106">
        <v>1931.21</v>
      </c>
      <c r="H29" s="106">
        <v>2324.4899999999998</v>
      </c>
      <c r="I29" s="106">
        <v>2633.67</v>
      </c>
      <c r="J29" s="37"/>
      <c r="K29" s="407">
        <v>1674</v>
      </c>
      <c r="L29" s="407">
        <v>1767.89</v>
      </c>
      <c r="M29" s="407">
        <v>1931.21</v>
      </c>
      <c r="N29" s="407">
        <v>2324.4899999999998</v>
      </c>
      <c r="O29" s="407">
        <v>2633.67</v>
      </c>
    </row>
    <row r="30" spans="1:15">
      <c r="A30" s="40">
        <v>41700</v>
      </c>
      <c r="B30" s="277" t="s">
        <v>166</v>
      </c>
      <c r="C30" s="276"/>
      <c r="D30" s="8" t="s">
        <v>187</v>
      </c>
      <c r="E30" s="106" t="s">
        <v>3</v>
      </c>
      <c r="F30" s="106" t="s">
        <v>3</v>
      </c>
      <c r="G30" s="106" t="s">
        <v>3</v>
      </c>
      <c r="H30" s="106" t="s">
        <v>3</v>
      </c>
      <c r="I30" s="106" t="s">
        <v>3</v>
      </c>
      <c r="J30" s="37"/>
    </row>
    <row r="31" spans="1:15">
      <c r="A31" s="40">
        <v>41701</v>
      </c>
      <c r="B31" s="277" t="s">
        <v>167</v>
      </c>
      <c r="C31" s="276"/>
      <c r="D31" s="8" t="s">
        <v>187</v>
      </c>
      <c r="E31" s="106" t="s">
        <v>3</v>
      </c>
      <c r="F31" s="106" t="s">
        <v>3</v>
      </c>
      <c r="G31" s="106" t="s">
        <v>3</v>
      </c>
      <c r="H31" s="106" t="s">
        <v>3</v>
      </c>
      <c r="I31" s="106" t="s">
        <v>3</v>
      </c>
      <c r="J31" s="37"/>
    </row>
    <row r="32" spans="1:15">
      <c r="A32" s="40">
        <v>41702</v>
      </c>
      <c r="B32" s="277" t="s">
        <v>168</v>
      </c>
      <c r="C32" s="276"/>
      <c r="D32" s="8" t="s">
        <v>187</v>
      </c>
      <c r="E32" s="106">
        <v>1674</v>
      </c>
      <c r="F32" s="106">
        <v>1767.89</v>
      </c>
      <c r="G32" s="106">
        <v>1931.21</v>
      </c>
      <c r="H32" s="106">
        <v>2324.4899999999998</v>
      </c>
      <c r="I32" s="106">
        <v>2633.67</v>
      </c>
      <c r="J32" s="37"/>
    </row>
    <row r="33" spans="1:11" ht="48">
      <c r="A33" s="44">
        <v>14.4</v>
      </c>
      <c r="B33" s="275" t="s">
        <v>106</v>
      </c>
      <c r="C33" s="276"/>
      <c r="D33" s="43" t="s">
        <v>218</v>
      </c>
      <c r="E33" s="106"/>
      <c r="F33" s="106"/>
      <c r="G33" s="106"/>
      <c r="H33" s="106"/>
      <c r="I33" s="106"/>
      <c r="J33" s="37"/>
    </row>
    <row r="34" spans="1:11" ht="36">
      <c r="A34" s="40">
        <v>41730</v>
      </c>
      <c r="B34" s="275" t="s">
        <v>107</v>
      </c>
      <c r="C34" s="276"/>
      <c r="D34" s="42" t="s">
        <v>283</v>
      </c>
      <c r="E34" s="106" t="s">
        <v>3</v>
      </c>
      <c r="F34" s="106" t="s">
        <v>3</v>
      </c>
      <c r="G34" s="106" t="s">
        <v>3</v>
      </c>
      <c r="H34" s="106" t="s">
        <v>3</v>
      </c>
      <c r="I34" s="106" t="s">
        <v>3</v>
      </c>
      <c r="J34" s="37"/>
    </row>
    <row r="35" spans="1:11">
      <c r="A35" s="40">
        <v>41731</v>
      </c>
      <c r="B35" s="275" t="s">
        <v>108</v>
      </c>
      <c r="C35" s="276"/>
      <c r="D35" s="7"/>
      <c r="E35" s="106" t="s">
        <v>3</v>
      </c>
      <c r="F35" s="106" t="s">
        <v>3</v>
      </c>
      <c r="G35" s="106" t="s">
        <v>3</v>
      </c>
      <c r="H35" s="106" t="s">
        <v>3</v>
      </c>
      <c r="I35" s="106" t="s">
        <v>3</v>
      </c>
      <c r="J35" s="37"/>
    </row>
    <row r="36" spans="1:11">
      <c r="A36" s="44">
        <v>14.5</v>
      </c>
      <c r="B36" s="277" t="s">
        <v>11</v>
      </c>
      <c r="C36" s="276"/>
      <c r="D36" s="8" t="s">
        <v>7</v>
      </c>
      <c r="E36" s="88">
        <v>182844.86428571469</v>
      </c>
      <c r="F36" s="89">
        <v>154857.28571428574</v>
      </c>
      <c r="G36" s="89">
        <v>347178.51465337869</v>
      </c>
      <c r="H36" s="89">
        <v>399395.4095577696</v>
      </c>
      <c r="I36" s="89">
        <v>663408.52852241206</v>
      </c>
      <c r="J36" s="37"/>
    </row>
    <row r="37" spans="1:11">
      <c r="A37" s="44">
        <v>14.5</v>
      </c>
      <c r="B37" s="275" t="s">
        <v>109</v>
      </c>
      <c r="C37" s="276"/>
      <c r="D37" s="7" t="s">
        <v>110</v>
      </c>
      <c r="E37" s="99" t="s">
        <v>9</v>
      </c>
      <c r="F37" s="99" t="s">
        <v>9</v>
      </c>
      <c r="G37" s="99" t="s">
        <v>8</v>
      </c>
      <c r="H37" s="99" t="s">
        <v>8</v>
      </c>
      <c r="I37" s="99" t="s">
        <v>8</v>
      </c>
      <c r="J37" s="37" t="s">
        <v>23</v>
      </c>
      <c r="K37" s="3"/>
    </row>
    <row r="38" spans="1:11">
      <c r="A38" s="40">
        <v>41760</v>
      </c>
      <c r="B38" s="275" t="s">
        <v>111</v>
      </c>
      <c r="C38" s="276"/>
      <c r="D38" s="7"/>
      <c r="E38" s="99" t="s">
        <v>9</v>
      </c>
      <c r="F38" s="99" t="s">
        <v>9</v>
      </c>
      <c r="G38" s="99" t="s">
        <v>8</v>
      </c>
      <c r="H38" s="99" t="s">
        <v>8</v>
      </c>
      <c r="I38" s="99" t="s">
        <v>8</v>
      </c>
      <c r="J38" s="37"/>
    </row>
    <row r="39" spans="1:11">
      <c r="A39" s="7" t="s">
        <v>112</v>
      </c>
      <c r="B39" s="275" t="s">
        <v>113</v>
      </c>
      <c r="C39" s="276"/>
      <c r="D39" s="7"/>
      <c r="E39" s="99" t="s">
        <v>9</v>
      </c>
      <c r="F39" s="99" t="s">
        <v>9</v>
      </c>
      <c r="G39" s="99" t="s">
        <v>8</v>
      </c>
      <c r="H39" s="99" t="s">
        <v>8</v>
      </c>
      <c r="I39" s="99" t="s">
        <v>8</v>
      </c>
      <c r="J39" s="37"/>
    </row>
    <row r="40" spans="1:11">
      <c r="A40" s="7" t="s">
        <v>114</v>
      </c>
      <c r="B40" s="277" t="s">
        <v>182</v>
      </c>
      <c r="C40" s="276"/>
      <c r="D40" s="7"/>
      <c r="E40" s="106" t="s">
        <v>3</v>
      </c>
      <c r="F40" s="106" t="s">
        <v>3</v>
      </c>
      <c r="G40" s="106" t="s">
        <v>3</v>
      </c>
      <c r="H40" s="106" t="s">
        <v>3</v>
      </c>
      <c r="I40" s="106" t="s">
        <v>3</v>
      </c>
      <c r="J40" s="37"/>
    </row>
    <row r="41" spans="1:11">
      <c r="A41" s="7" t="s">
        <v>115</v>
      </c>
      <c r="B41" s="275" t="s">
        <v>116</v>
      </c>
      <c r="C41" s="276"/>
      <c r="D41" s="7"/>
      <c r="E41" s="106" t="s">
        <v>3</v>
      </c>
      <c r="F41" s="106" t="s">
        <v>3</v>
      </c>
      <c r="G41" s="106" t="s">
        <v>3</v>
      </c>
      <c r="H41" s="106" t="s">
        <v>3</v>
      </c>
      <c r="I41" s="106" t="s">
        <v>3</v>
      </c>
      <c r="J41" s="37"/>
    </row>
    <row r="42" spans="1:11">
      <c r="A42" s="40">
        <v>41761</v>
      </c>
      <c r="B42" s="275" t="s">
        <v>117</v>
      </c>
      <c r="C42" s="276"/>
      <c r="D42" s="7"/>
      <c r="E42" s="106"/>
      <c r="F42" s="106"/>
      <c r="G42" s="106"/>
      <c r="H42" s="106"/>
      <c r="I42" s="106"/>
      <c r="J42" s="37"/>
    </row>
    <row r="43" spans="1:11">
      <c r="A43" s="7" t="s">
        <v>118</v>
      </c>
      <c r="B43" s="275" t="s">
        <v>113</v>
      </c>
      <c r="C43" s="276"/>
      <c r="D43" s="7"/>
      <c r="E43" s="106" t="s">
        <v>3</v>
      </c>
      <c r="F43" s="106" t="s">
        <v>3</v>
      </c>
      <c r="G43" s="106" t="s">
        <v>3</v>
      </c>
      <c r="H43" s="106" t="s">
        <v>3</v>
      </c>
      <c r="I43" s="106" t="s">
        <v>3</v>
      </c>
      <c r="J43" s="37"/>
    </row>
    <row r="44" spans="1:11">
      <c r="A44" s="7" t="s">
        <v>119</v>
      </c>
      <c r="B44" s="277" t="s">
        <v>172</v>
      </c>
      <c r="C44" s="276"/>
      <c r="D44" s="7"/>
      <c r="E44" s="106" t="s">
        <v>3</v>
      </c>
      <c r="F44" s="106" t="s">
        <v>3</v>
      </c>
      <c r="G44" s="106" t="s">
        <v>3</v>
      </c>
      <c r="H44" s="106" t="s">
        <v>3</v>
      </c>
      <c r="I44" s="106" t="s">
        <v>3</v>
      </c>
      <c r="J44" s="37"/>
    </row>
    <row r="45" spans="1:11">
      <c r="A45" s="7" t="s">
        <v>120</v>
      </c>
      <c r="B45" s="275" t="s">
        <v>116</v>
      </c>
      <c r="C45" s="276"/>
      <c r="D45" s="7"/>
      <c r="E45" s="106" t="s">
        <v>3</v>
      </c>
      <c r="F45" s="106" t="s">
        <v>3</v>
      </c>
      <c r="G45" s="106" t="s">
        <v>3</v>
      </c>
      <c r="H45" s="106" t="s">
        <v>3</v>
      </c>
      <c r="I45" s="106" t="s">
        <v>3</v>
      </c>
      <c r="J45" s="37"/>
    </row>
    <row r="46" spans="1:11">
      <c r="A46" s="38">
        <v>15</v>
      </c>
      <c r="B46" s="277" t="s">
        <v>121</v>
      </c>
      <c r="C46" s="276"/>
      <c r="D46" s="7"/>
      <c r="E46" s="106"/>
      <c r="F46" s="106"/>
      <c r="G46" s="106"/>
      <c r="H46" s="106"/>
      <c r="I46" s="106"/>
      <c r="J46" s="37"/>
    </row>
    <row r="47" spans="1:11">
      <c r="A47" s="44">
        <v>15.1</v>
      </c>
      <c r="B47" s="275" t="s">
        <v>122</v>
      </c>
      <c r="C47" s="276"/>
      <c r="D47" s="43" t="s">
        <v>188</v>
      </c>
      <c r="E47" s="106"/>
      <c r="F47" s="97"/>
      <c r="G47" s="97"/>
      <c r="H47" s="97"/>
      <c r="I47" s="97"/>
      <c r="J47" s="37"/>
    </row>
    <row r="48" spans="1:11">
      <c r="A48" s="44">
        <v>15.1</v>
      </c>
      <c r="B48" s="275" t="s">
        <v>13</v>
      </c>
      <c r="C48" s="276"/>
      <c r="D48" s="42" t="s">
        <v>14</v>
      </c>
      <c r="E48" s="97">
        <v>3162.9468000000002</v>
      </c>
      <c r="F48" s="97">
        <v>2368.6862000000001</v>
      </c>
      <c r="G48" s="97">
        <v>4051.4985000000001</v>
      </c>
      <c r="H48" s="97">
        <v>7088.2731999999996</v>
      </c>
      <c r="I48" s="97">
        <v>5058.2732999999998</v>
      </c>
      <c r="J48" s="37"/>
    </row>
    <row r="49" spans="1:10">
      <c r="A49" s="44"/>
      <c r="B49" s="275" t="s">
        <v>12</v>
      </c>
      <c r="C49" s="276"/>
      <c r="D49" s="42" t="s">
        <v>14</v>
      </c>
      <c r="E49" s="97"/>
      <c r="F49" s="97"/>
      <c r="G49" s="97"/>
      <c r="H49" s="97"/>
      <c r="I49" s="97"/>
      <c r="J49" s="37"/>
    </row>
    <row r="50" spans="1:10">
      <c r="A50" s="44">
        <v>15.2</v>
      </c>
      <c r="B50" s="277" t="s">
        <v>181</v>
      </c>
      <c r="C50" s="276"/>
      <c r="D50" s="43" t="s">
        <v>192</v>
      </c>
      <c r="E50" s="97">
        <v>9971.56</v>
      </c>
      <c r="F50" s="97">
        <v>10025.379999999999</v>
      </c>
      <c r="G50" s="97">
        <v>10163.41</v>
      </c>
      <c r="H50" s="97">
        <v>10132.85</v>
      </c>
      <c r="I50" s="97">
        <v>10175.209999999999</v>
      </c>
      <c r="J50" s="37"/>
    </row>
    <row r="51" spans="1:10" ht="24">
      <c r="A51" s="44">
        <v>15.3</v>
      </c>
      <c r="B51" s="275" t="s">
        <v>123</v>
      </c>
      <c r="C51" s="276"/>
      <c r="D51" s="43" t="s">
        <v>189</v>
      </c>
      <c r="E51" s="101"/>
      <c r="F51" s="101"/>
      <c r="G51" s="101"/>
      <c r="H51" s="101"/>
      <c r="I51" s="101"/>
      <c r="J51" s="37"/>
    </row>
    <row r="52" spans="1:10">
      <c r="A52" s="44" t="s">
        <v>24</v>
      </c>
      <c r="B52" s="275" t="s">
        <v>13</v>
      </c>
      <c r="C52" s="276"/>
      <c r="D52" s="7" t="s">
        <v>193</v>
      </c>
      <c r="E52" s="97">
        <v>49468.234199999999</v>
      </c>
      <c r="F52" s="97">
        <v>50493.420993414613</v>
      </c>
      <c r="G52" s="97">
        <v>46840.935149999998</v>
      </c>
      <c r="H52" s="97">
        <v>24695.337081854821</v>
      </c>
      <c r="I52" s="97">
        <v>27955.967843999999</v>
      </c>
      <c r="J52" s="284" t="s">
        <v>23</v>
      </c>
    </row>
    <row r="53" spans="1:10">
      <c r="A53" s="44" t="s">
        <v>25</v>
      </c>
      <c r="B53" s="275" t="s">
        <v>12</v>
      </c>
      <c r="C53" s="276"/>
      <c r="D53" s="7" t="s">
        <v>193</v>
      </c>
      <c r="E53" s="97"/>
      <c r="F53" s="97"/>
      <c r="G53" s="97"/>
      <c r="H53" s="97"/>
      <c r="I53" s="97"/>
      <c r="J53" s="284"/>
    </row>
    <row r="54" spans="1:10">
      <c r="A54" s="44">
        <v>15.4</v>
      </c>
      <c r="B54" s="275" t="s">
        <v>124</v>
      </c>
      <c r="C54" s="276"/>
      <c r="D54" s="43" t="s">
        <v>190</v>
      </c>
      <c r="E54" s="106"/>
      <c r="F54" s="106"/>
      <c r="G54" s="106"/>
      <c r="H54" s="106"/>
      <c r="I54" s="106"/>
      <c r="J54" s="37"/>
    </row>
    <row r="55" spans="1:10">
      <c r="A55" s="44" t="s">
        <v>15</v>
      </c>
      <c r="B55" s="275" t="s">
        <v>13</v>
      </c>
      <c r="C55" s="276"/>
      <c r="D55" s="7" t="s">
        <v>14</v>
      </c>
      <c r="E55" s="97">
        <v>700.37699999999995</v>
      </c>
      <c r="F55" s="97">
        <v>778.86</v>
      </c>
      <c r="G55" s="97">
        <v>636.42200000000003</v>
      </c>
      <c r="H55" s="97">
        <v>597.01900000000001</v>
      </c>
      <c r="I55" s="97">
        <v>1218.1600000000001</v>
      </c>
      <c r="J55" s="291" t="s">
        <v>26</v>
      </c>
    </row>
    <row r="56" spans="1:10">
      <c r="A56" s="44" t="s">
        <v>16</v>
      </c>
      <c r="B56" s="275" t="s">
        <v>12</v>
      </c>
      <c r="C56" s="276"/>
      <c r="D56" s="7" t="s">
        <v>14</v>
      </c>
      <c r="E56" s="97"/>
      <c r="F56" s="97"/>
      <c r="G56" s="97"/>
      <c r="H56" s="97"/>
      <c r="I56" s="97"/>
      <c r="J56" s="291"/>
    </row>
    <row r="57" spans="1:10">
      <c r="A57" s="38">
        <v>16</v>
      </c>
      <c r="B57" s="275" t="s">
        <v>125</v>
      </c>
      <c r="C57" s="276"/>
      <c r="D57" s="7"/>
      <c r="E57" s="106"/>
      <c r="F57" s="106"/>
      <c r="G57" s="106"/>
      <c r="H57" s="106"/>
      <c r="I57" s="106"/>
      <c r="J57" s="37"/>
    </row>
    <row r="58" spans="1:10">
      <c r="A58" s="44">
        <v>16.100000000000001</v>
      </c>
      <c r="B58" s="275" t="s">
        <v>126</v>
      </c>
      <c r="C58" s="276"/>
      <c r="D58" s="285" t="s">
        <v>191</v>
      </c>
      <c r="E58" s="97">
        <v>107.7</v>
      </c>
      <c r="F58" s="97">
        <v>102.45</v>
      </c>
      <c r="G58" s="97">
        <v>110.35</v>
      </c>
      <c r="H58" s="97">
        <v>131.72999999999999</v>
      </c>
      <c r="I58" s="97">
        <v>108.56</v>
      </c>
      <c r="J58" s="284"/>
    </row>
    <row r="59" spans="1:10">
      <c r="A59" s="44">
        <v>16.2</v>
      </c>
      <c r="B59" s="275" t="s">
        <v>127</v>
      </c>
      <c r="C59" s="276"/>
      <c r="D59" s="286"/>
      <c r="E59" s="97">
        <v>42.67</v>
      </c>
      <c r="F59" s="97">
        <v>42.790000000000006</v>
      </c>
      <c r="G59" s="97">
        <v>50.07</v>
      </c>
      <c r="H59" s="97">
        <v>71.849999999999994</v>
      </c>
      <c r="I59" s="97">
        <v>29.910000000000004</v>
      </c>
      <c r="J59" s="284"/>
    </row>
    <row r="60" spans="1:10">
      <c r="A60" s="44">
        <v>16.3</v>
      </c>
      <c r="B60" s="275" t="s">
        <v>128</v>
      </c>
      <c r="C60" s="276"/>
      <c r="D60" s="7"/>
      <c r="E60" s="97">
        <v>39</v>
      </c>
      <c r="F60" s="97">
        <v>29</v>
      </c>
      <c r="G60" s="97">
        <v>52</v>
      </c>
      <c r="H60" s="97">
        <v>59</v>
      </c>
      <c r="I60" s="97">
        <v>62</v>
      </c>
      <c r="J60" s="37"/>
    </row>
    <row r="61" spans="1:10">
      <c r="A61" s="44">
        <v>16.399999999999999</v>
      </c>
      <c r="B61" s="275" t="s">
        <v>129</v>
      </c>
      <c r="C61" s="276"/>
      <c r="D61" s="7"/>
      <c r="E61" s="97">
        <v>35</v>
      </c>
      <c r="F61" s="97">
        <v>29</v>
      </c>
      <c r="G61" s="97">
        <v>51</v>
      </c>
      <c r="H61" s="97">
        <v>58</v>
      </c>
      <c r="I61" s="97">
        <v>60</v>
      </c>
      <c r="J61" s="37"/>
    </row>
    <row r="62" spans="1:10">
      <c r="A62" s="40">
        <v>42461</v>
      </c>
      <c r="B62" s="275" t="s">
        <v>130</v>
      </c>
      <c r="C62" s="276"/>
      <c r="D62" s="7"/>
      <c r="E62" s="97">
        <v>7</v>
      </c>
      <c r="F62" s="97">
        <v>6</v>
      </c>
      <c r="G62" s="97">
        <v>6</v>
      </c>
      <c r="H62" s="97">
        <v>9</v>
      </c>
      <c r="I62" s="97">
        <v>4</v>
      </c>
      <c r="J62" s="234" t="s">
        <v>34</v>
      </c>
    </row>
    <row r="63" spans="1:10">
      <c r="A63" s="40">
        <v>42462</v>
      </c>
      <c r="B63" s="275" t="s">
        <v>131</v>
      </c>
      <c r="C63" s="276"/>
      <c r="D63" s="7"/>
      <c r="E63" s="97">
        <v>12</v>
      </c>
      <c r="F63" s="97">
        <v>9</v>
      </c>
      <c r="G63" s="97">
        <v>22</v>
      </c>
      <c r="H63" s="97">
        <v>29</v>
      </c>
      <c r="I63" s="97">
        <v>20</v>
      </c>
      <c r="J63" s="282"/>
    </row>
    <row r="64" spans="1:10">
      <c r="A64" s="40">
        <v>42463</v>
      </c>
      <c r="B64" s="275" t="s">
        <v>132</v>
      </c>
      <c r="C64" s="276"/>
      <c r="D64" s="7"/>
      <c r="E64" s="97">
        <v>16</v>
      </c>
      <c r="F64" s="97">
        <v>14</v>
      </c>
      <c r="G64" s="97">
        <v>23</v>
      </c>
      <c r="H64" s="97">
        <v>20</v>
      </c>
      <c r="I64" s="97">
        <v>36</v>
      </c>
      <c r="J64" s="283"/>
    </row>
  </sheetData>
  <mergeCells count="68">
    <mergeCell ref="B61:C61"/>
    <mergeCell ref="B62:C62"/>
    <mergeCell ref="J62:J64"/>
    <mergeCell ref="B63:C63"/>
    <mergeCell ref="B64:C64"/>
    <mergeCell ref="B60:C60"/>
    <mergeCell ref="B51:C51"/>
    <mergeCell ref="B52:C52"/>
    <mergeCell ref="J52:J53"/>
    <mergeCell ref="B53:C53"/>
    <mergeCell ref="B54:C54"/>
    <mergeCell ref="B55:C55"/>
    <mergeCell ref="J55:J56"/>
    <mergeCell ref="B56:C56"/>
    <mergeCell ref="B57:C57"/>
    <mergeCell ref="B58:C58"/>
    <mergeCell ref="D58:D59"/>
    <mergeCell ref="J58:J59"/>
    <mergeCell ref="B59:C5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E11:I11"/>
    <mergeCell ref="B26:C26"/>
    <mergeCell ref="A13:A14"/>
    <mergeCell ref="B13:B14"/>
    <mergeCell ref="B15:C15"/>
    <mergeCell ref="B16:C16"/>
    <mergeCell ref="B17:C17"/>
    <mergeCell ref="A18:A20"/>
    <mergeCell ref="B18:B20"/>
    <mergeCell ref="A21:A22"/>
    <mergeCell ref="B21:B22"/>
    <mergeCell ref="A23:A24"/>
    <mergeCell ref="B23:B24"/>
    <mergeCell ref="B25:C25"/>
    <mergeCell ref="B12:C12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hyperlinks>
    <hyperlink ref="F50" r:id="rId1" display="317@"/>
    <hyperlink ref="F52" r:id="rId2" display="317@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32"/>
  <sheetViews>
    <sheetView workbookViewId="0">
      <selection activeCell="M13" sqref="M13"/>
    </sheetView>
  </sheetViews>
  <sheetFormatPr defaultColWidth="8.83203125" defaultRowHeight="15"/>
  <cols>
    <col min="1" max="1" width="7.83203125" style="41" customWidth="1"/>
    <col min="2" max="2" width="40.1640625" style="28" customWidth="1"/>
    <col min="3" max="3" width="12" style="9" customWidth="1"/>
    <col min="4" max="8" width="10.6640625" style="28" customWidth="1"/>
    <col min="9" max="9" width="6.1640625" style="28" customWidth="1"/>
    <col min="10" max="10" width="12.6640625" style="28" bestFit="1" customWidth="1"/>
    <col min="11" max="11" width="11.5" style="28" bestFit="1" customWidth="1"/>
    <col min="12" max="16384" width="8.83203125" style="28"/>
  </cols>
  <sheetData>
    <row r="1" spans="1:8">
      <c r="A1" s="64" t="s">
        <v>198</v>
      </c>
      <c r="B1" s="34" t="s">
        <v>284</v>
      </c>
      <c r="F1" s="36" t="s">
        <v>174</v>
      </c>
    </row>
    <row r="2" spans="1:8">
      <c r="A2" s="47"/>
      <c r="B2" s="7" t="s">
        <v>39</v>
      </c>
      <c r="C2" s="48" t="s">
        <v>40</v>
      </c>
      <c r="D2" s="55" t="s">
        <v>41</v>
      </c>
      <c r="E2" s="56" t="s">
        <v>42</v>
      </c>
      <c r="F2" s="27" t="s">
        <v>43</v>
      </c>
      <c r="G2" s="57" t="s">
        <v>36</v>
      </c>
      <c r="H2" s="57" t="s">
        <v>37</v>
      </c>
    </row>
    <row r="3" spans="1:8" ht="30">
      <c r="A3" s="38">
        <v>17</v>
      </c>
      <c r="B3" s="29" t="s">
        <v>133</v>
      </c>
      <c r="C3" s="106"/>
      <c r="D3" s="33"/>
      <c r="E3" s="49"/>
      <c r="F3" s="30"/>
      <c r="G3" s="30"/>
      <c r="H3" s="50"/>
    </row>
    <row r="4" spans="1:8" ht="30">
      <c r="A4" s="44">
        <v>17.100000000000001</v>
      </c>
      <c r="B4" s="30" t="s">
        <v>134</v>
      </c>
      <c r="C4" s="103" t="s">
        <v>135</v>
      </c>
      <c r="D4" s="294" t="s">
        <v>17</v>
      </c>
      <c r="E4" s="273"/>
      <c r="F4" s="273"/>
      <c r="G4" s="273"/>
      <c r="H4" s="274"/>
    </row>
    <row r="5" spans="1:8" ht="30">
      <c r="A5" s="51">
        <v>17.2</v>
      </c>
      <c r="B5" s="31" t="s">
        <v>173</v>
      </c>
      <c r="C5" s="106" t="s">
        <v>135</v>
      </c>
      <c r="D5" s="63"/>
      <c r="E5" s="63"/>
      <c r="F5" s="63"/>
      <c r="G5" s="63"/>
      <c r="H5" s="63"/>
    </row>
    <row r="6" spans="1:8">
      <c r="A6" s="51"/>
      <c r="B6" s="106" t="s">
        <v>18</v>
      </c>
      <c r="C6" s="20" t="s">
        <v>35</v>
      </c>
      <c r="D6" s="133">
        <v>52</v>
      </c>
      <c r="E6" s="134">
        <v>54</v>
      </c>
      <c r="F6" s="134">
        <v>52</v>
      </c>
      <c r="G6" s="134">
        <v>48</v>
      </c>
      <c r="H6" s="134">
        <v>66</v>
      </c>
    </row>
    <row r="7" spans="1:8">
      <c r="A7" s="51"/>
      <c r="B7" s="106" t="s">
        <v>19</v>
      </c>
      <c r="C7" s="20" t="s">
        <v>35</v>
      </c>
      <c r="D7" s="134">
        <v>1290</v>
      </c>
      <c r="E7" s="134">
        <v>1259</v>
      </c>
      <c r="F7" s="134">
        <v>964</v>
      </c>
      <c r="G7" s="134">
        <v>358</v>
      </c>
      <c r="H7" s="134">
        <v>640</v>
      </c>
    </row>
    <row r="8" spans="1:8">
      <c r="A8" s="51"/>
      <c r="B8" s="33" t="s">
        <v>20</v>
      </c>
      <c r="C8" s="20" t="s">
        <v>35</v>
      </c>
      <c r="D8" s="134">
        <v>43</v>
      </c>
      <c r="E8" s="134">
        <v>82</v>
      </c>
      <c r="F8" s="134">
        <v>168</v>
      </c>
      <c r="G8" s="134">
        <v>152</v>
      </c>
      <c r="H8" s="134">
        <v>103</v>
      </c>
    </row>
    <row r="9" spans="1:8" ht="30">
      <c r="A9" s="53">
        <v>19</v>
      </c>
      <c r="B9" s="32" t="s">
        <v>180</v>
      </c>
      <c r="C9" s="20" t="s">
        <v>183</v>
      </c>
      <c r="D9" s="135">
        <v>58.384999999999998</v>
      </c>
      <c r="E9" s="103">
        <v>83.759</v>
      </c>
      <c r="F9" s="103">
        <v>98.209000000000003</v>
      </c>
      <c r="G9" s="103">
        <v>99.738</v>
      </c>
      <c r="H9" s="103">
        <v>99.41</v>
      </c>
    </row>
    <row r="10" spans="1:8">
      <c r="A10" s="51">
        <v>19.100000000000001</v>
      </c>
      <c r="B10" s="33" t="s">
        <v>136</v>
      </c>
      <c r="C10" s="106" t="s">
        <v>110</v>
      </c>
      <c r="D10" s="135">
        <v>0</v>
      </c>
      <c r="E10" s="136">
        <v>0</v>
      </c>
      <c r="F10" s="103">
        <v>0</v>
      </c>
      <c r="G10" s="103">
        <v>0</v>
      </c>
      <c r="H10" s="103">
        <v>0</v>
      </c>
    </row>
    <row r="11" spans="1:8">
      <c r="A11" s="51">
        <v>19.2</v>
      </c>
      <c r="B11" s="33" t="s">
        <v>137</v>
      </c>
      <c r="C11" s="106" t="s">
        <v>110</v>
      </c>
      <c r="D11" s="135">
        <v>0</v>
      </c>
      <c r="E11" s="136">
        <v>0</v>
      </c>
      <c r="F11" s="103">
        <v>0</v>
      </c>
      <c r="G11" s="103">
        <v>0</v>
      </c>
      <c r="H11" s="103">
        <v>0</v>
      </c>
    </row>
    <row r="12" spans="1:8">
      <c r="A12" s="51">
        <v>19.3</v>
      </c>
      <c r="B12" s="33" t="s">
        <v>138</v>
      </c>
      <c r="C12" s="106" t="s">
        <v>110</v>
      </c>
      <c r="D12" s="25" t="s">
        <v>9</v>
      </c>
      <c r="E12" s="25" t="s">
        <v>9</v>
      </c>
      <c r="F12" s="25" t="s">
        <v>9</v>
      </c>
      <c r="G12" s="25"/>
      <c r="H12" s="25" t="s">
        <v>9</v>
      </c>
    </row>
    <row r="13" spans="1:8" ht="30">
      <c r="A13" s="51">
        <v>19.399999999999999</v>
      </c>
      <c r="B13" s="33" t="s">
        <v>139</v>
      </c>
      <c r="C13" s="106" t="s">
        <v>110</v>
      </c>
      <c r="D13" s="25" t="s">
        <v>9</v>
      </c>
      <c r="E13" s="25" t="s">
        <v>9</v>
      </c>
      <c r="F13" s="25" t="s">
        <v>9</v>
      </c>
      <c r="G13" s="25"/>
      <c r="H13" s="25" t="s">
        <v>9</v>
      </c>
    </row>
    <row r="14" spans="1:8" ht="30">
      <c r="A14" s="51">
        <v>19.5</v>
      </c>
      <c r="B14" s="33" t="s">
        <v>140</v>
      </c>
      <c r="C14" s="20" t="s">
        <v>285</v>
      </c>
      <c r="D14" s="25" t="s">
        <v>9</v>
      </c>
      <c r="E14" s="25" t="s">
        <v>9</v>
      </c>
      <c r="F14" s="25" t="s">
        <v>9</v>
      </c>
      <c r="G14" s="25"/>
      <c r="H14" s="25" t="s">
        <v>9</v>
      </c>
    </row>
    <row r="15" spans="1:8" ht="30">
      <c r="A15" s="53">
        <v>20</v>
      </c>
      <c r="B15" s="32" t="s">
        <v>195</v>
      </c>
      <c r="C15" s="106" t="s">
        <v>142</v>
      </c>
      <c r="D15" s="26">
        <v>1397.3389999999999</v>
      </c>
      <c r="E15" s="63">
        <v>1638.64</v>
      </c>
      <c r="F15" s="63">
        <v>1082.193</v>
      </c>
      <c r="G15" s="63">
        <v>1228.3399999999999</v>
      </c>
      <c r="H15" s="63">
        <v>1922.7439999999999</v>
      </c>
    </row>
    <row r="16" spans="1:8" ht="30">
      <c r="A16" s="53">
        <v>21</v>
      </c>
      <c r="B16" s="33" t="s">
        <v>143</v>
      </c>
      <c r="C16" s="106" t="s">
        <v>144</v>
      </c>
      <c r="D16" s="26">
        <v>4411.9629999999997</v>
      </c>
      <c r="E16" s="63">
        <v>4439.4319999999998</v>
      </c>
      <c r="F16" s="63">
        <v>4231.3959999999997</v>
      </c>
      <c r="G16" s="63">
        <v>4191.9589999999998</v>
      </c>
      <c r="H16" s="63">
        <v>5212.1360000000004</v>
      </c>
    </row>
    <row r="17" spans="1:8" ht="30">
      <c r="A17" s="53">
        <v>22</v>
      </c>
      <c r="B17" s="32" t="s">
        <v>286</v>
      </c>
      <c r="C17" s="106"/>
      <c r="D17" s="27"/>
      <c r="E17" s="27"/>
      <c r="F17" s="27"/>
      <c r="G17" s="27"/>
      <c r="H17" s="27"/>
    </row>
    <row r="18" spans="1:8">
      <c r="A18" s="51">
        <v>22.1</v>
      </c>
      <c r="B18" s="33" t="s">
        <v>146</v>
      </c>
      <c r="C18" s="106"/>
      <c r="D18" s="30">
        <v>374</v>
      </c>
      <c r="E18" s="137">
        <v>359</v>
      </c>
      <c r="F18" s="137">
        <v>330</v>
      </c>
      <c r="G18" s="137">
        <v>317</v>
      </c>
      <c r="H18" s="137">
        <v>290</v>
      </c>
    </row>
    <row r="19" spans="1:8">
      <c r="A19" s="51">
        <v>22.2</v>
      </c>
      <c r="B19" s="33" t="s">
        <v>147</v>
      </c>
      <c r="C19" s="106"/>
      <c r="D19" s="30">
        <v>708</v>
      </c>
      <c r="E19" s="137">
        <v>663</v>
      </c>
      <c r="F19" s="137">
        <v>641</v>
      </c>
      <c r="G19" s="137">
        <v>606</v>
      </c>
      <c r="H19" s="137">
        <v>566</v>
      </c>
    </row>
    <row r="20" spans="1:8">
      <c r="A20" s="51">
        <v>22.3</v>
      </c>
      <c r="B20" s="12" t="s">
        <v>148</v>
      </c>
      <c r="C20" s="138"/>
      <c r="D20" s="30">
        <v>519</v>
      </c>
      <c r="E20" s="137">
        <v>462</v>
      </c>
      <c r="F20" s="137">
        <v>453</v>
      </c>
      <c r="G20" s="137">
        <v>397</v>
      </c>
      <c r="H20" s="137">
        <v>330</v>
      </c>
    </row>
    <row r="21" spans="1:8">
      <c r="A21" s="53">
        <v>23</v>
      </c>
      <c r="B21" s="33" t="s">
        <v>149</v>
      </c>
      <c r="C21" s="106" t="s">
        <v>150</v>
      </c>
      <c r="D21" s="24">
        <f>ROUND(SUM(D18:D20)/840,2)</f>
        <v>1.91</v>
      </c>
      <c r="E21" s="24">
        <f t="shared" ref="E21:H21" si="0">ROUND(SUM(E18:E20)/840,2)</f>
        <v>1.77</v>
      </c>
      <c r="F21" s="24">
        <f t="shared" si="0"/>
        <v>1.7</v>
      </c>
      <c r="G21" s="24">
        <f t="shared" si="0"/>
        <v>1.57</v>
      </c>
      <c r="H21" s="24">
        <f t="shared" si="0"/>
        <v>1.41</v>
      </c>
    </row>
    <row r="22" spans="1:8">
      <c r="A22" s="28" t="s">
        <v>151</v>
      </c>
      <c r="B22" s="107"/>
      <c r="D22" s="107"/>
      <c r="E22" s="107"/>
      <c r="F22" s="107"/>
      <c r="G22" s="107"/>
      <c r="H22" s="107"/>
    </row>
    <row r="23" spans="1:8">
      <c r="A23" s="54" t="s">
        <v>157</v>
      </c>
      <c r="B23" s="295" t="s">
        <v>197</v>
      </c>
      <c r="C23" s="295"/>
      <c r="D23" s="295"/>
      <c r="E23" s="295"/>
      <c r="F23" s="295"/>
      <c r="G23" s="295"/>
      <c r="H23" s="295"/>
    </row>
    <row r="24" spans="1:8">
      <c r="A24" s="54" t="s">
        <v>27</v>
      </c>
      <c r="B24" s="295" t="s">
        <v>28</v>
      </c>
      <c r="C24" s="295"/>
      <c r="D24" s="295"/>
      <c r="E24" s="295"/>
      <c r="F24" s="295"/>
      <c r="G24" s="295"/>
      <c r="H24" s="295"/>
    </row>
    <row r="25" spans="1:8">
      <c r="A25" s="41" t="s">
        <v>152</v>
      </c>
      <c r="B25" s="34" t="s">
        <v>176</v>
      </c>
    </row>
    <row r="26" spans="1:8">
      <c r="A26" s="292" t="s">
        <v>175</v>
      </c>
      <c r="B26" s="293"/>
      <c r="C26" s="293"/>
      <c r="D26" s="293"/>
      <c r="E26" s="293"/>
      <c r="F26" s="293"/>
      <c r="G26" s="293"/>
      <c r="H26" s="293"/>
    </row>
    <row r="27" spans="1:8">
      <c r="A27" s="41" t="s">
        <v>153</v>
      </c>
    </row>
    <row r="28" spans="1:8">
      <c r="A28" s="41" t="s">
        <v>154</v>
      </c>
    </row>
    <row r="29" spans="1:8">
      <c r="A29" s="292" t="s">
        <v>177</v>
      </c>
      <c r="B29" s="293"/>
      <c r="C29" s="293"/>
      <c r="D29" s="293"/>
      <c r="E29" s="293"/>
      <c r="F29" s="293"/>
      <c r="G29" s="293"/>
      <c r="H29" s="293"/>
    </row>
    <row r="30" spans="1:8">
      <c r="A30" s="41" t="s">
        <v>155</v>
      </c>
    </row>
    <row r="31" spans="1:8">
      <c r="A31" s="292" t="s">
        <v>178</v>
      </c>
      <c r="B31" s="293"/>
      <c r="C31" s="293"/>
      <c r="D31" s="293"/>
      <c r="E31" s="293"/>
      <c r="F31" s="293"/>
      <c r="G31" s="293"/>
      <c r="H31" s="293"/>
    </row>
    <row r="32" spans="1:8">
      <c r="A32" s="58" t="s">
        <v>179</v>
      </c>
    </row>
  </sheetData>
  <mergeCells count="6">
    <mergeCell ref="A31:H31"/>
    <mergeCell ref="D4:H4"/>
    <mergeCell ref="B23:H23"/>
    <mergeCell ref="B24:H24"/>
    <mergeCell ref="A26:H26"/>
    <mergeCell ref="A29:H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G32"/>
  <sheetViews>
    <sheetView topLeftCell="A15" workbookViewId="0">
      <selection sqref="A1:G32"/>
    </sheetView>
  </sheetViews>
  <sheetFormatPr defaultColWidth="8.83203125" defaultRowHeight="15.75"/>
  <cols>
    <col min="1" max="1" width="23.33203125" style="139" customWidth="1"/>
    <col min="2" max="3" width="13.1640625" style="139" customWidth="1"/>
    <col min="4" max="6" width="13.6640625" style="139" bestFit="1" customWidth="1"/>
    <col min="7" max="7" width="37" style="139" customWidth="1"/>
    <col min="8" max="8" width="2.6640625" style="139" customWidth="1"/>
    <col min="9" max="16384" width="8.83203125" style="139"/>
  </cols>
  <sheetData>
    <row r="1" spans="1:7" ht="18.75">
      <c r="A1" s="315" t="s">
        <v>314</v>
      </c>
      <c r="B1" s="316"/>
      <c r="C1" s="316"/>
      <c r="D1" s="316"/>
      <c r="E1" s="316"/>
      <c r="F1" s="316"/>
      <c r="G1" s="316"/>
    </row>
    <row r="2" spans="1:7" ht="18.75">
      <c r="A2" s="317" t="s">
        <v>287</v>
      </c>
      <c r="B2" s="318"/>
      <c r="C2" s="318"/>
      <c r="D2" s="318"/>
      <c r="E2" s="318"/>
      <c r="F2" s="318"/>
      <c r="G2" s="319"/>
    </row>
    <row r="3" spans="1:7" ht="18.75">
      <c r="A3" s="320" t="s">
        <v>288</v>
      </c>
      <c r="B3" s="321"/>
      <c r="C3" s="321"/>
      <c r="D3" s="321"/>
      <c r="E3" s="321"/>
      <c r="F3" s="321"/>
      <c r="G3" s="322"/>
    </row>
    <row r="4" spans="1:7" ht="56.25">
      <c r="A4" s="140" t="s">
        <v>289</v>
      </c>
      <c r="B4" s="141" t="s">
        <v>290</v>
      </c>
      <c r="C4" s="141" t="s">
        <v>291</v>
      </c>
      <c r="D4" s="141" t="s">
        <v>292</v>
      </c>
      <c r="E4" s="141" t="s">
        <v>293</v>
      </c>
      <c r="F4" s="141" t="s">
        <v>294</v>
      </c>
      <c r="G4" s="142" t="s">
        <v>295</v>
      </c>
    </row>
    <row r="5" spans="1:7" ht="18.75">
      <c r="A5" s="143" t="s">
        <v>296</v>
      </c>
      <c r="B5" s="144">
        <v>95.899364467166507</v>
      </c>
      <c r="C5" s="144">
        <v>98.100650603647892</v>
      </c>
      <c r="D5" s="144">
        <v>101.06365943893401</v>
      </c>
      <c r="E5" s="144">
        <v>96.938742440166607</v>
      </c>
      <c r="F5" s="144">
        <v>99.523717034136993</v>
      </c>
      <c r="G5" s="323"/>
    </row>
    <row r="6" spans="1:7" ht="18.75">
      <c r="A6" s="143" t="s">
        <v>297</v>
      </c>
      <c r="B6" s="144">
        <v>90.134943651078103</v>
      </c>
      <c r="C6" s="144">
        <v>94.965275080491395</v>
      </c>
      <c r="D6" s="144">
        <v>98.1727928229041</v>
      </c>
      <c r="E6" s="144">
        <v>94.356422216369396</v>
      </c>
      <c r="F6" s="144">
        <v>100.256333930979</v>
      </c>
      <c r="G6" s="324"/>
    </row>
    <row r="7" spans="1:7" ht="18.75">
      <c r="A7" s="143" t="s">
        <v>298</v>
      </c>
      <c r="B7" s="144">
        <v>95.324031341503897</v>
      </c>
      <c r="C7" s="144">
        <v>89.835051321018597</v>
      </c>
      <c r="D7" s="144">
        <v>96.255646606263397</v>
      </c>
      <c r="E7" s="144">
        <v>96.032138766949402</v>
      </c>
      <c r="F7" s="144">
        <v>93.912339863551196</v>
      </c>
      <c r="G7" s="324"/>
    </row>
    <row r="8" spans="1:7" ht="18.75">
      <c r="A8" s="143" t="s">
        <v>299</v>
      </c>
      <c r="B8" s="144">
        <v>74.341784451075</v>
      </c>
      <c r="C8" s="144">
        <v>98.336174993462606</v>
      </c>
      <c r="D8" s="144">
        <v>95.541683258261301</v>
      </c>
      <c r="E8" s="144">
        <v>98.339908707368195</v>
      </c>
      <c r="F8" s="144">
        <v>79.720263706455498</v>
      </c>
      <c r="G8" s="324"/>
    </row>
    <row r="9" spans="1:7" ht="18.75">
      <c r="A9" s="143" t="s">
        <v>300</v>
      </c>
      <c r="B9" s="144">
        <v>95.859048940236505</v>
      </c>
      <c r="C9" s="144">
        <v>95.021924532851997</v>
      </c>
      <c r="D9" s="144">
        <v>95.625820569892397</v>
      </c>
      <c r="E9" s="144">
        <v>95.456065335943407</v>
      </c>
      <c r="F9" s="144">
        <v>99.612268282264594</v>
      </c>
      <c r="G9" s="324"/>
    </row>
    <row r="10" spans="1:7" ht="18.75">
      <c r="A10" s="143" t="s">
        <v>301</v>
      </c>
      <c r="B10" s="144">
        <v>90.410584007252098</v>
      </c>
      <c r="C10" s="144">
        <v>89.233841841340194</v>
      </c>
      <c r="D10" s="144">
        <v>90.443444981246401</v>
      </c>
      <c r="E10" s="144">
        <v>80.868329232922406</v>
      </c>
      <c r="F10" s="144">
        <v>98.5899731232888</v>
      </c>
      <c r="G10" s="324"/>
    </row>
    <row r="11" spans="1:7" ht="18.75">
      <c r="A11" s="143" t="s">
        <v>302</v>
      </c>
      <c r="B11" s="144">
        <v>61.974114636317999</v>
      </c>
      <c r="C11" s="144">
        <v>61.657392698119594</v>
      </c>
      <c r="D11" s="144">
        <v>44.918187643693102</v>
      </c>
      <c r="E11" s="144">
        <v>67.747015703759701</v>
      </c>
      <c r="F11" s="144">
        <v>74.245609130817201</v>
      </c>
      <c r="G11" s="324"/>
    </row>
    <row r="12" spans="1:7" ht="18.75">
      <c r="A12" s="143" t="s">
        <v>303</v>
      </c>
      <c r="B12" s="144">
        <v>75.846653549097994</v>
      </c>
      <c r="C12" s="144">
        <v>77.826094851022205</v>
      </c>
      <c r="D12" s="144">
        <v>73.332323397196603</v>
      </c>
      <c r="E12" s="144">
        <v>55.707266823105094</v>
      </c>
      <c r="F12" s="144">
        <v>88.5906581216001</v>
      </c>
      <c r="G12" s="324"/>
    </row>
    <row r="13" spans="1:7" ht="18.75">
      <c r="A13" s="143" t="s">
        <v>304</v>
      </c>
      <c r="B13" s="144">
        <v>68.295099155349206</v>
      </c>
      <c r="C13" s="144">
        <v>66.634883954915196</v>
      </c>
      <c r="D13" s="144">
        <v>69.855855942263702</v>
      </c>
      <c r="E13" s="144">
        <v>54.642598776292296</v>
      </c>
      <c r="F13" s="144">
        <v>80.413704502852397</v>
      </c>
      <c r="G13" s="324"/>
    </row>
    <row r="14" spans="1:7" ht="18.75">
      <c r="A14" s="143" t="s">
        <v>305</v>
      </c>
      <c r="B14" s="144">
        <v>93.011448343447</v>
      </c>
      <c r="C14" s="144">
        <v>97.925595212603</v>
      </c>
      <c r="D14" s="144">
        <v>93.844517165037502</v>
      </c>
      <c r="E14" s="144">
        <v>94.811291569074598</v>
      </c>
      <c r="F14" s="144">
        <v>97.432423105176696</v>
      </c>
      <c r="G14" s="324"/>
    </row>
    <row r="15" spans="1:7" ht="18.75">
      <c r="A15" s="143" t="s">
        <v>306</v>
      </c>
      <c r="B15" s="144">
        <v>99.830816995411993</v>
      </c>
      <c r="C15" s="144">
        <v>98.959663832167593</v>
      </c>
      <c r="D15" s="144">
        <v>98.313158854356104</v>
      </c>
      <c r="E15" s="144">
        <v>96.765888578844994</v>
      </c>
      <c r="F15" s="144">
        <v>98.469956445711603</v>
      </c>
      <c r="G15" s="324"/>
    </row>
    <row r="16" spans="1:7" ht="18.75">
      <c r="A16" s="143" t="s">
        <v>307</v>
      </c>
      <c r="B16" s="144">
        <v>96.9268911172353</v>
      </c>
      <c r="C16" s="144">
        <v>99.811635729947497</v>
      </c>
      <c r="D16" s="144">
        <v>97.317321717880205</v>
      </c>
      <c r="E16" s="144">
        <v>100.19794637042099</v>
      </c>
      <c r="F16" s="144">
        <v>95.722704008304703</v>
      </c>
      <c r="G16" s="325"/>
    </row>
    <row r="17" spans="1:7" ht="18.75">
      <c r="A17" s="142" t="s">
        <v>308</v>
      </c>
      <c r="B17" s="144">
        <v>86.346644153312496</v>
      </c>
      <c r="C17" s="144">
        <v>88.947066011193684</v>
      </c>
      <c r="D17" s="144">
        <v>87.778581461230374</v>
      </c>
      <c r="E17" s="144">
        <v>85.969108731521573</v>
      </c>
      <c r="F17" s="144">
        <v>92.123731318985151</v>
      </c>
      <c r="G17" s="143"/>
    </row>
    <row r="18" spans="1:7" ht="18.75">
      <c r="A18" s="326" t="s">
        <v>309</v>
      </c>
      <c r="B18" s="321"/>
      <c r="C18" s="321"/>
      <c r="D18" s="321"/>
      <c r="E18" s="321"/>
      <c r="F18" s="321"/>
      <c r="G18" s="327"/>
    </row>
    <row r="19" spans="1:7" ht="75">
      <c r="A19" s="145" t="s">
        <v>310</v>
      </c>
      <c r="B19" s="141" t="s">
        <v>290</v>
      </c>
      <c r="C19" s="141" t="s">
        <v>291</v>
      </c>
      <c r="D19" s="141" t="s">
        <v>292</v>
      </c>
      <c r="E19" s="141" t="s">
        <v>293</v>
      </c>
      <c r="F19" s="146" t="s">
        <v>294</v>
      </c>
      <c r="G19" s="147" t="s">
        <v>311</v>
      </c>
    </row>
    <row r="20" spans="1:7" ht="18.75">
      <c r="A20" s="143" t="s">
        <v>296</v>
      </c>
      <c r="B20" s="144">
        <v>95.055444099646408</v>
      </c>
      <c r="C20" s="144">
        <v>97.972226724308697</v>
      </c>
      <c r="D20" s="144">
        <v>101.04014189086502</v>
      </c>
      <c r="E20" s="144">
        <v>95.398470095225889</v>
      </c>
      <c r="F20" s="144">
        <v>98.0762297113952</v>
      </c>
      <c r="G20" s="314"/>
    </row>
    <row r="21" spans="1:7" ht="18.75">
      <c r="A21" s="143" t="s">
        <v>297</v>
      </c>
      <c r="B21" s="144">
        <v>88.509863342239498</v>
      </c>
      <c r="C21" s="144">
        <v>94.143706741473892</v>
      </c>
      <c r="D21" s="144">
        <v>97.138982160667197</v>
      </c>
      <c r="E21" s="144">
        <v>92.095712521011805</v>
      </c>
      <c r="F21" s="144">
        <v>89.834382900397102</v>
      </c>
      <c r="G21" s="314"/>
    </row>
    <row r="22" spans="1:7" ht="18.75">
      <c r="A22" s="143" t="s">
        <v>298</v>
      </c>
      <c r="B22" s="144">
        <v>94.134678943122196</v>
      </c>
      <c r="C22" s="144">
        <v>86.274504920557007</v>
      </c>
      <c r="D22" s="144">
        <v>95.727865438616703</v>
      </c>
      <c r="E22" s="144">
        <v>90.890851133391209</v>
      </c>
      <c r="F22" s="144">
        <v>82.828965277056994</v>
      </c>
      <c r="G22" s="314"/>
    </row>
    <row r="23" spans="1:7" ht="18.75">
      <c r="A23" s="143" t="s">
        <v>299</v>
      </c>
      <c r="B23" s="144">
        <v>74.083435911071703</v>
      </c>
      <c r="C23" s="144">
        <v>91.618147981454598</v>
      </c>
      <c r="D23" s="144">
        <v>94.837482284634703</v>
      </c>
      <c r="E23" s="144">
        <v>97.459074097537197</v>
      </c>
      <c r="F23" s="144">
        <v>72.8081865703614</v>
      </c>
      <c r="G23" s="314"/>
    </row>
    <row r="24" spans="1:7" ht="18.75">
      <c r="A24" s="143" t="s">
        <v>300</v>
      </c>
      <c r="B24" s="144">
        <v>95.0503026897659</v>
      </c>
      <c r="C24" s="144">
        <v>89.834017897675594</v>
      </c>
      <c r="D24" s="144">
        <v>94.480579147374598</v>
      </c>
      <c r="E24" s="144">
        <v>95.3953660914827</v>
      </c>
      <c r="F24" s="144">
        <v>90.794528031020405</v>
      </c>
      <c r="G24" s="314"/>
    </row>
    <row r="25" spans="1:7" ht="18.75">
      <c r="A25" s="143" t="s">
        <v>301</v>
      </c>
      <c r="B25" s="144">
        <v>90.064926472945388</v>
      </c>
      <c r="C25" s="144">
        <v>82.465171678074398</v>
      </c>
      <c r="D25" s="144">
        <v>88.405479881122801</v>
      </c>
      <c r="E25" s="144">
        <v>80.541959227785199</v>
      </c>
      <c r="F25" s="144">
        <v>85.720893963027805</v>
      </c>
      <c r="G25" s="314"/>
    </row>
    <row r="26" spans="1:7" ht="18.75">
      <c r="A26" s="143" t="s">
        <v>302</v>
      </c>
      <c r="B26" s="144">
        <v>61.643227116310598</v>
      </c>
      <c r="C26" s="144">
        <v>60.4562839719298</v>
      </c>
      <c r="D26" s="144">
        <v>44.891681493682398</v>
      </c>
      <c r="E26" s="144">
        <v>67.464961299174703</v>
      </c>
      <c r="F26" s="144">
        <v>71.347202987673199</v>
      </c>
      <c r="G26" s="314"/>
    </row>
    <row r="27" spans="1:7" ht="18.75">
      <c r="A27" s="143" t="s">
        <v>303</v>
      </c>
      <c r="B27" s="144">
        <v>74.900757064688904</v>
      </c>
      <c r="C27" s="144">
        <v>77.066638495100008</v>
      </c>
      <c r="D27" s="144">
        <v>73.272093356116699</v>
      </c>
      <c r="E27" s="144">
        <v>54.087915275969003</v>
      </c>
      <c r="F27" s="144">
        <v>84.863616341300798</v>
      </c>
      <c r="G27" s="314"/>
    </row>
    <row r="28" spans="1:7" ht="18.75">
      <c r="A28" s="143" t="s">
        <v>304</v>
      </c>
      <c r="B28" s="144">
        <v>67.4969791834028</v>
      </c>
      <c r="C28" s="144">
        <v>65.322650890482308</v>
      </c>
      <c r="D28" s="144">
        <v>69.373346163012897</v>
      </c>
      <c r="E28" s="144">
        <v>52.730191801336503</v>
      </c>
      <c r="F28" s="144">
        <v>74.472697473017902</v>
      </c>
      <c r="G28" s="314"/>
    </row>
    <row r="29" spans="1:7" ht="18.75">
      <c r="A29" s="143" t="s">
        <v>305</v>
      </c>
      <c r="B29" s="144">
        <v>92.011721982961703</v>
      </c>
      <c r="C29" s="144">
        <v>96.69494894695741</v>
      </c>
      <c r="D29" s="144">
        <v>92.761115700952701</v>
      </c>
      <c r="E29" s="144">
        <v>87.655759548997494</v>
      </c>
      <c r="F29" s="144">
        <v>88.628366271652595</v>
      </c>
      <c r="G29" s="314"/>
    </row>
    <row r="30" spans="1:7" ht="18.75">
      <c r="A30" s="143" t="s">
        <v>306</v>
      </c>
      <c r="B30" s="144">
        <v>99.521545149924606</v>
      </c>
      <c r="C30" s="144">
        <v>98.940779700437801</v>
      </c>
      <c r="D30" s="144">
        <v>97.986365590751006</v>
      </c>
      <c r="E30" s="144">
        <v>90.836204269508997</v>
      </c>
      <c r="F30" s="144">
        <v>90.874495814208998</v>
      </c>
      <c r="G30" s="314"/>
    </row>
    <row r="31" spans="1:7" ht="18.75">
      <c r="A31" s="143" t="s">
        <v>307</v>
      </c>
      <c r="B31" s="144">
        <v>96.9268911172353</v>
      </c>
      <c r="C31" s="144">
        <v>99.042546671104503</v>
      </c>
      <c r="D31" s="144">
        <v>97.19923142822789</v>
      </c>
      <c r="E31" s="144">
        <v>98.553947719468795</v>
      </c>
      <c r="F31" s="144">
        <v>92.837027254603598</v>
      </c>
      <c r="G31" s="314"/>
    </row>
    <row r="32" spans="1:7" ht="18.75">
      <c r="A32" s="142" t="s">
        <v>308</v>
      </c>
      <c r="B32" s="144">
        <v>85.640198693815307</v>
      </c>
      <c r="C32" s="144">
        <v>86.559395841881866</v>
      </c>
      <c r="D32" s="144">
        <v>87.145590748706269</v>
      </c>
      <c r="E32" s="144">
        <v>83.589702735617976</v>
      </c>
      <c r="F32" s="144">
        <v>85.182386788306275</v>
      </c>
      <c r="G32" s="148"/>
    </row>
  </sheetData>
  <mergeCells count="6">
    <mergeCell ref="G20:G31"/>
    <mergeCell ref="A1:G1"/>
    <mergeCell ref="A2:G2"/>
    <mergeCell ref="A3:G3"/>
    <mergeCell ref="G5:G16"/>
    <mergeCell ref="A18:G1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G32"/>
  <sheetViews>
    <sheetView topLeftCell="A16" workbookViewId="0">
      <selection activeCell="M30" sqref="M30"/>
    </sheetView>
  </sheetViews>
  <sheetFormatPr defaultColWidth="8.83203125" defaultRowHeight="15.75"/>
  <cols>
    <col min="1" max="1" width="23.33203125" style="139" customWidth="1"/>
    <col min="2" max="3" width="13.1640625" style="139" customWidth="1"/>
    <col min="4" max="6" width="13.6640625" style="139" bestFit="1" customWidth="1"/>
    <col min="7" max="7" width="39" style="139" customWidth="1"/>
    <col min="8" max="8" width="2.6640625" style="139" customWidth="1"/>
    <col min="9" max="16384" width="8.83203125" style="139"/>
  </cols>
  <sheetData>
    <row r="1" spans="1:7" ht="18.75">
      <c r="A1" s="315" t="s">
        <v>313</v>
      </c>
      <c r="B1" s="316"/>
      <c r="C1" s="316"/>
      <c r="D1" s="316"/>
      <c r="E1" s="316"/>
      <c r="F1" s="316"/>
      <c r="G1" s="316"/>
    </row>
    <row r="2" spans="1:7" ht="18.75">
      <c r="A2" s="317" t="s">
        <v>312</v>
      </c>
      <c r="B2" s="318"/>
      <c r="C2" s="318"/>
      <c r="D2" s="318"/>
      <c r="E2" s="318"/>
      <c r="F2" s="318"/>
      <c r="G2" s="319"/>
    </row>
    <row r="3" spans="1:7" ht="18.75">
      <c r="A3" s="320" t="s">
        <v>288</v>
      </c>
      <c r="B3" s="321"/>
      <c r="C3" s="321"/>
      <c r="D3" s="321"/>
      <c r="E3" s="321"/>
      <c r="F3" s="321"/>
      <c r="G3" s="322"/>
    </row>
    <row r="4" spans="1:7" ht="37.5">
      <c r="A4" s="140" t="s">
        <v>289</v>
      </c>
      <c r="B4" s="141" t="s">
        <v>290</v>
      </c>
      <c r="C4" s="141" t="s">
        <v>291</v>
      </c>
      <c r="D4" s="141" t="s">
        <v>292</v>
      </c>
      <c r="E4" s="141" t="s">
        <v>293</v>
      </c>
      <c r="F4" s="141" t="s">
        <v>294</v>
      </c>
      <c r="G4" s="142" t="s">
        <v>295</v>
      </c>
    </row>
    <row r="5" spans="1:7" ht="18.75">
      <c r="A5" s="143" t="s">
        <v>296</v>
      </c>
      <c r="B5" s="149">
        <v>96.927896397411089</v>
      </c>
      <c r="C5" s="149">
        <v>97.75108053210721</v>
      </c>
      <c r="D5" s="149">
        <v>98.924622864681297</v>
      </c>
      <c r="E5" s="149">
        <v>97.829557604573807</v>
      </c>
      <c r="F5" s="149">
        <v>101.11602308239701</v>
      </c>
      <c r="G5" s="323"/>
    </row>
    <row r="6" spans="1:7" ht="18.75">
      <c r="A6" s="143" t="s">
        <v>297</v>
      </c>
      <c r="B6" s="149">
        <v>97.110875737549989</v>
      </c>
      <c r="C6" s="149">
        <v>92.129471216750304</v>
      </c>
      <c r="D6" s="149">
        <v>94.232317122652304</v>
      </c>
      <c r="E6" s="149">
        <v>94.962282914241698</v>
      </c>
      <c r="F6" s="149">
        <v>99.150488817532803</v>
      </c>
      <c r="G6" s="324"/>
    </row>
    <row r="7" spans="1:7" ht="18.75">
      <c r="A7" s="143" t="s">
        <v>298</v>
      </c>
      <c r="B7" s="149">
        <v>87.005288739369306</v>
      </c>
      <c r="C7" s="149">
        <v>96.892813855939295</v>
      </c>
      <c r="D7" s="149">
        <v>90.877524275834901</v>
      </c>
      <c r="E7" s="149">
        <v>97.920487479454394</v>
      </c>
      <c r="F7" s="149">
        <v>75.227818892536206</v>
      </c>
      <c r="G7" s="324"/>
    </row>
    <row r="8" spans="1:7" ht="18.75">
      <c r="A8" s="143" t="s">
        <v>299</v>
      </c>
      <c r="B8" s="149">
        <v>93.065628951153698</v>
      </c>
      <c r="C8" s="149">
        <v>88.511400449399602</v>
      </c>
      <c r="D8" s="149">
        <v>73.992850611255903</v>
      </c>
      <c r="E8" s="149">
        <v>71.842320160247596</v>
      </c>
      <c r="F8" s="149">
        <v>85.587945582915097</v>
      </c>
      <c r="G8" s="324"/>
    </row>
    <row r="9" spans="1:7" ht="18.75">
      <c r="A9" s="143" t="s">
        <v>300</v>
      </c>
      <c r="B9" s="149">
        <v>57.441020427563807</v>
      </c>
      <c r="C9" s="149">
        <v>63.257495227878202</v>
      </c>
      <c r="D9" s="149">
        <v>77.084406495523908</v>
      </c>
      <c r="E9" s="149">
        <v>73.934721780254094</v>
      </c>
      <c r="F9" s="149">
        <v>85.870272116577894</v>
      </c>
      <c r="G9" s="324"/>
    </row>
    <row r="10" spans="1:7" ht="18.75">
      <c r="A10" s="143" t="s">
        <v>301</v>
      </c>
      <c r="B10" s="149">
        <v>66.345357017059399</v>
      </c>
      <c r="C10" s="149">
        <v>72.435949425877993</v>
      </c>
      <c r="D10" s="149">
        <v>79.327818626876507</v>
      </c>
      <c r="E10" s="149">
        <v>71.317687769117299</v>
      </c>
      <c r="F10" s="149">
        <v>98.378555270205695</v>
      </c>
      <c r="G10" s="324"/>
    </row>
    <row r="11" spans="1:7" ht="18.75">
      <c r="A11" s="143" t="s">
        <v>302</v>
      </c>
      <c r="B11" s="149">
        <v>90.1196314404514</v>
      </c>
      <c r="C11" s="149">
        <v>84.646636594382301</v>
      </c>
      <c r="D11" s="149">
        <v>80.232437138366791</v>
      </c>
      <c r="E11" s="149">
        <v>75.988559883108096</v>
      </c>
      <c r="F11" s="149">
        <v>90.575257505239307</v>
      </c>
      <c r="G11" s="324"/>
    </row>
    <row r="12" spans="1:7" ht="18.75">
      <c r="A12" s="143" t="s">
        <v>303</v>
      </c>
      <c r="B12" s="149">
        <v>77.412675284670101</v>
      </c>
      <c r="C12" s="149">
        <v>77.420098131599104</v>
      </c>
      <c r="D12" s="149">
        <v>77.998298839754298</v>
      </c>
      <c r="E12" s="149">
        <v>54.010734139876405</v>
      </c>
      <c r="F12" s="149">
        <v>78.493725037747097</v>
      </c>
      <c r="G12" s="324"/>
    </row>
    <row r="13" spans="1:7" ht="18.75">
      <c r="A13" s="143" t="s">
        <v>304</v>
      </c>
      <c r="B13" s="149">
        <v>97.144004445299799</v>
      </c>
      <c r="C13" s="149">
        <v>97.421557798530699</v>
      </c>
      <c r="D13" s="149">
        <v>78.385877940207294</v>
      </c>
      <c r="E13" s="149">
        <v>67.899389568257092</v>
      </c>
      <c r="F13" s="149">
        <v>84.600842417763801</v>
      </c>
      <c r="G13" s="324"/>
    </row>
    <row r="14" spans="1:7" ht="18.75">
      <c r="A14" s="143" t="s">
        <v>305</v>
      </c>
      <c r="B14" s="149">
        <v>98.773785637113306</v>
      </c>
      <c r="C14" s="149">
        <v>101.19071626727401</v>
      </c>
      <c r="D14" s="149">
        <v>99.339383888682804</v>
      </c>
      <c r="E14" s="149">
        <v>97.409128625723</v>
      </c>
      <c r="F14" s="149">
        <v>88.916648193985793</v>
      </c>
      <c r="G14" s="324"/>
    </row>
    <row r="15" spans="1:7" ht="18.75">
      <c r="A15" s="143" t="s">
        <v>306</v>
      </c>
      <c r="B15" s="149">
        <v>93.144973792773797</v>
      </c>
      <c r="C15" s="149">
        <v>97.559021344178703</v>
      </c>
      <c r="D15" s="149">
        <v>98.422764462864706</v>
      </c>
      <c r="E15" s="149">
        <v>96.7340258906099</v>
      </c>
      <c r="F15" s="149">
        <v>99.374985265927904</v>
      </c>
      <c r="G15" s="324"/>
    </row>
    <row r="16" spans="1:7" ht="18.75">
      <c r="A16" s="143" t="s">
        <v>307</v>
      </c>
      <c r="B16" s="149">
        <v>97.5768043105967</v>
      </c>
      <c r="C16" s="149">
        <v>101.266378266001</v>
      </c>
      <c r="D16" s="149">
        <v>98.2074312381487</v>
      </c>
      <c r="E16" s="149">
        <v>98.031390672716199</v>
      </c>
      <c r="F16" s="149">
        <v>96.631809103512495</v>
      </c>
      <c r="G16" s="325"/>
    </row>
    <row r="17" spans="1:7" ht="18.75">
      <c r="A17" s="142" t="s">
        <v>308</v>
      </c>
      <c r="B17" s="149">
        <v>87.690356352861784</v>
      </c>
      <c r="C17" s="149">
        <v>89.172011469669613</v>
      </c>
      <c r="D17" s="149">
        <v>87.165482686724886</v>
      </c>
      <c r="E17" s="149">
        <v>83.114050170380651</v>
      </c>
      <c r="F17" s="149">
        <v>90.274834059714792</v>
      </c>
      <c r="G17" s="143"/>
    </row>
    <row r="18" spans="1:7" ht="18.75">
      <c r="A18" s="326" t="s">
        <v>309</v>
      </c>
      <c r="B18" s="321"/>
      <c r="C18" s="321"/>
      <c r="D18" s="321"/>
      <c r="E18" s="321"/>
      <c r="F18" s="321"/>
      <c r="G18" s="327"/>
    </row>
    <row r="19" spans="1:7" ht="56.25">
      <c r="A19" s="145" t="s">
        <v>310</v>
      </c>
      <c r="B19" s="141" t="s">
        <v>290</v>
      </c>
      <c r="C19" s="141" t="s">
        <v>291</v>
      </c>
      <c r="D19" s="141" t="s">
        <v>292</v>
      </c>
      <c r="E19" s="141" t="s">
        <v>293</v>
      </c>
      <c r="F19" s="146" t="s">
        <v>294</v>
      </c>
      <c r="G19" s="147" t="s">
        <v>311</v>
      </c>
    </row>
    <row r="20" spans="1:7" ht="18.75">
      <c r="A20" s="143" t="s">
        <v>296</v>
      </c>
      <c r="B20" s="144">
        <v>96.115368620336511</v>
      </c>
      <c r="C20" s="144">
        <v>97.627571684386211</v>
      </c>
      <c r="D20" s="144">
        <v>98.899448181652502</v>
      </c>
      <c r="E20" s="144">
        <v>96.133792596593111</v>
      </c>
      <c r="F20" s="150">
        <v>98.551978856762702</v>
      </c>
      <c r="G20" s="314"/>
    </row>
    <row r="21" spans="1:7" ht="18.75">
      <c r="A21" s="143" t="s">
        <v>297</v>
      </c>
      <c r="B21" s="144">
        <v>95.548630322926101</v>
      </c>
      <c r="C21" s="144">
        <v>91.180872022144101</v>
      </c>
      <c r="D21" s="144">
        <v>93.337226698463709</v>
      </c>
      <c r="E21" s="144">
        <v>92.409453220895998</v>
      </c>
      <c r="F21" s="150">
        <v>84.083487787781095</v>
      </c>
      <c r="G21" s="314"/>
    </row>
    <row r="22" spans="1:7" ht="18.75">
      <c r="A22" s="143" t="s">
        <v>298</v>
      </c>
      <c r="B22" s="144">
        <v>85.917710787756292</v>
      </c>
      <c r="C22" s="144">
        <v>92.434367285122704</v>
      </c>
      <c r="D22" s="144">
        <v>90.333395900119399</v>
      </c>
      <c r="E22" s="144">
        <v>91.334369250223801</v>
      </c>
      <c r="F22" s="150">
        <v>62.720091806552098</v>
      </c>
      <c r="G22" s="314"/>
    </row>
    <row r="23" spans="1:7" ht="18.75">
      <c r="A23" s="143" t="s">
        <v>299</v>
      </c>
      <c r="B23" s="144">
        <v>92.835382069331601</v>
      </c>
      <c r="C23" s="144">
        <v>82.559963263486097</v>
      </c>
      <c r="D23" s="144">
        <v>73.3693097299806</v>
      </c>
      <c r="E23" s="144">
        <v>71.296158204878296</v>
      </c>
      <c r="F23" s="150">
        <v>74.187869058530396</v>
      </c>
      <c r="G23" s="314"/>
    </row>
    <row r="24" spans="1:7" ht="18.75">
      <c r="A24" s="143" t="s">
        <v>300</v>
      </c>
      <c r="B24" s="144">
        <v>57.121267433394095</v>
      </c>
      <c r="C24" s="144">
        <v>59.428721625909198</v>
      </c>
      <c r="D24" s="144">
        <v>76.027018957401509</v>
      </c>
      <c r="E24" s="144">
        <v>73.885840159302703</v>
      </c>
      <c r="F24" s="150">
        <v>76.481867608148704</v>
      </c>
      <c r="G24" s="314"/>
    </row>
    <row r="25" spans="1:7" ht="18.75">
      <c r="A25" s="143" t="s">
        <v>301</v>
      </c>
      <c r="B25" s="144">
        <v>66.008136592728903</v>
      </c>
      <c r="C25" s="144">
        <v>66.208356168354598</v>
      </c>
      <c r="D25" s="144">
        <v>76.813680838209805</v>
      </c>
      <c r="E25" s="144">
        <v>70.951455733578896</v>
      </c>
      <c r="F25" s="150">
        <v>83.4843995002783</v>
      </c>
      <c r="G25" s="314"/>
    </row>
    <row r="26" spans="1:7" ht="18.75">
      <c r="A26" s="143" t="s">
        <v>302</v>
      </c>
      <c r="B26" s="144">
        <v>89.660539857633211</v>
      </c>
      <c r="C26" s="144">
        <v>82.779609431420496</v>
      </c>
      <c r="D26" s="144">
        <v>80.143505225447299</v>
      </c>
      <c r="E26" s="144">
        <v>75.536711719743195</v>
      </c>
      <c r="F26" s="150">
        <v>85.696735816799603</v>
      </c>
      <c r="G26" s="314"/>
    </row>
    <row r="27" spans="1:7" ht="18.75">
      <c r="A27" s="143" t="s">
        <v>303</v>
      </c>
      <c r="B27" s="144">
        <v>76.799057341414397</v>
      </c>
      <c r="C27" s="144">
        <v>76.589571904102499</v>
      </c>
      <c r="D27" s="144">
        <v>77.804801335706202</v>
      </c>
      <c r="E27" s="144">
        <v>51.979970678191897</v>
      </c>
      <c r="F27" s="150">
        <v>73.779787982395106</v>
      </c>
      <c r="G27" s="314"/>
    </row>
    <row r="28" spans="1:7" ht="18.75">
      <c r="A28" s="143" t="s">
        <v>304</v>
      </c>
      <c r="B28" s="144">
        <v>96.481110818028299</v>
      </c>
      <c r="C28" s="144">
        <v>95.826416664072596</v>
      </c>
      <c r="D28" s="144">
        <v>77.827389837112804</v>
      </c>
      <c r="E28" s="144">
        <v>65.944765565120306</v>
      </c>
      <c r="F28" s="150">
        <v>77.075416848179799</v>
      </c>
      <c r="G28" s="314"/>
    </row>
    <row r="29" spans="1:7" ht="18.75">
      <c r="A29" s="143" t="s">
        <v>305</v>
      </c>
      <c r="B29" s="144">
        <v>97.987932518956399</v>
      </c>
      <c r="C29" s="144">
        <v>99.5094395474827</v>
      </c>
      <c r="D29" s="144">
        <v>97.723948230731494</v>
      </c>
      <c r="E29" s="144">
        <v>85.909540741176301</v>
      </c>
      <c r="F29" s="150">
        <v>78.295302824479606</v>
      </c>
      <c r="G29" s="314"/>
    </row>
    <row r="30" spans="1:7" ht="18.75">
      <c r="A30" s="143" t="s">
        <v>306</v>
      </c>
      <c r="B30" s="144">
        <v>92.792839934130697</v>
      </c>
      <c r="C30" s="144">
        <v>97.550043292219897</v>
      </c>
      <c r="D30" s="144">
        <v>97.858751403420399</v>
      </c>
      <c r="E30" s="144">
        <v>88.946688887032906</v>
      </c>
      <c r="F30" s="150">
        <v>90.163697026991798</v>
      </c>
      <c r="G30" s="314"/>
    </row>
    <row r="31" spans="1:7" ht="18.75">
      <c r="A31" s="143" t="s">
        <v>307</v>
      </c>
      <c r="B31" s="144">
        <v>97.5768043105967</v>
      </c>
      <c r="C31" s="144">
        <v>100.652264652375</v>
      </c>
      <c r="D31" s="144">
        <v>98.014655240493099</v>
      </c>
      <c r="E31" s="144">
        <v>95.457648777973503</v>
      </c>
      <c r="F31" s="150">
        <v>92.902415481095105</v>
      </c>
      <c r="G31" s="314"/>
    </row>
    <row r="32" spans="1:7" ht="18.75">
      <c r="A32" s="142" t="s">
        <v>308</v>
      </c>
      <c r="B32" s="144">
        <v>87.087587412820852</v>
      </c>
      <c r="C32" s="144">
        <v>86.814392128369121</v>
      </c>
      <c r="D32" s="144">
        <v>86.425532872534134</v>
      </c>
      <c r="E32" s="144">
        <v>79.959249441375377</v>
      </c>
      <c r="F32" s="150">
        <v>81.400238957016057</v>
      </c>
      <c r="G32" s="148"/>
    </row>
  </sheetData>
  <mergeCells count="6">
    <mergeCell ref="G20:G31"/>
    <mergeCell ref="A1:G1"/>
    <mergeCell ref="A2:G2"/>
    <mergeCell ref="A3:G3"/>
    <mergeCell ref="G5:G16"/>
    <mergeCell ref="A18:G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18"/>
  <sheetViews>
    <sheetView topLeftCell="A7" workbookViewId="0">
      <selection activeCell="H32" sqref="H32"/>
    </sheetView>
  </sheetViews>
  <sheetFormatPr defaultRowHeight="12.75"/>
  <cols>
    <col min="1" max="1" width="10.5" style="151" customWidth="1"/>
    <col min="2" max="2" width="22.33203125" style="151" customWidth="1"/>
    <col min="3" max="3" width="17" style="151" customWidth="1"/>
    <col min="4" max="4" width="12" style="151" customWidth="1"/>
    <col min="5" max="5" width="19.33203125" style="151" customWidth="1"/>
    <col min="6" max="6" width="15.6640625" style="151" customWidth="1"/>
    <col min="7" max="7" width="16.1640625" style="151" customWidth="1"/>
    <col min="8" max="8" width="11.5" style="151" customWidth="1"/>
    <col min="9" max="9" width="21" style="151" customWidth="1"/>
    <col min="10" max="10" width="16.5" style="151" customWidth="1"/>
    <col min="11" max="11" width="12" style="151" customWidth="1"/>
    <col min="12" max="12" width="15.6640625" style="151" customWidth="1"/>
    <col min="13" max="13" width="13.1640625" style="151" customWidth="1"/>
    <col min="14" max="14" width="9.5" style="151" customWidth="1"/>
    <col min="15" max="15" width="2.6640625" style="151" customWidth="1"/>
    <col min="16" max="16384" width="9.33203125" style="151"/>
  </cols>
  <sheetData>
    <row r="1" spans="1:14" ht="14.1" customHeight="1">
      <c r="A1" s="330" t="s">
        <v>315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2.95" customHeight="1">
      <c r="A2" s="152" t="s">
        <v>316</v>
      </c>
    </row>
    <row r="3" spans="1:14" ht="12.95" customHeight="1">
      <c r="A3" s="152" t="s">
        <v>317</v>
      </c>
    </row>
    <row r="4" spans="1:14" ht="12.95" customHeight="1">
      <c r="A4" s="151" t="s">
        <v>318</v>
      </c>
    </row>
    <row r="5" spans="1:14" ht="54" customHeight="1">
      <c r="A5" s="331" t="s">
        <v>319</v>
      </c>
      <c r="B5" s="331" t="s">
        <v>320</v>
      </c>
      <c r="C5" s="331" t="s">
        <v>321</v>
      </c>
      <c r="D5" s="331" t="s">
        <v>322</v>
      </c>
      <c r="E5" s="328" t="s">
        <v>323</v>
      </c>
      <c r="F5" s="333"/>
      <c r="G5" s="333"/>
      <c r="H5" s="333"/>
      <c r="I5" s="333"/>
      <c r="J5" s="329"/>
      <c r="K5" s="331" t="s">
        <v>324</v>
      </c>
      <c r="L5" s="334" t="s">
        <v>325</v>
      </c>
      <c r="M5" s="331" t="s">
        <v>326</v>
      </c>
      <c r="N5" s="331" t="s">
        <v>327</v>
      </c>
    </row>
    <row r="6" spans="1:14" ht="83.25" customHeight="1">
      <c r="A6" s="332"/>
      <c r="B6" s="332"/>
      <c r="C6" s="332"/>
      <c r="D6" s="332"/>
      <c r="E6" s="328" t="s">
        <v>328</v>
      </c>
      <c r="F6" s="329"/>
      <c r="G6" s="335" t="s">
        <v>329</v>
      </c>
      <c r="H6" s="329"/>
      <c r="I6" s="335" t="s">
        <v>330</v>
      </c>
      <c r="J6" s="329"/>
      <c r="K6" s="332"/>
      <c r="L6" s="332"/>
      <c r="M6" s="332"/>
      <c r="N6" s="332"/>
    </row>
    <row r="7" spans="1:14" ht="11.1" customHeight="1">
      <c r="A7" s="153"/>
      <c r="B7" s="153"/>
      <c r="C7" s="153"/>
      <c r="D7" s="153"/>
      <c r="E7" s="328"/>
      <c r="F7" s="329"/>
      <c r="G7" s="328"/>
      <c r="H7" s="329"/>
      <c r="I7" s="328"/>
      <c r="J7" s="329"/>
      <c r="K7" s="153"/>
      <c r="L7" s="153"/>
      <c r="M7" s="153"/>
      <c r="N7" s="153"/>
    </row>
    <row r="8" spans="1:14" ht="44.1" customHeight="1">
      <c r="A8" s="153"/>
      <c r="B8" s="153"/>
      <c r="C8" s="153"/>
      <c r="D8" s="153"/>
      <c r="E8" s="154" t="s">
        <v>331</v>
      </c>
      <c r="F8" s="153" t="s">
        <v>332</v>
      </c>
      <c r="G8" s="153" t="s">
        <v>333</v>
      </c>
      <c r="H8" s="153" t="s">
        <v>334</v>
      </c>
      <c r="I8" s="154" t="s">
        <v>335</v>
      </c>
      <c r="J8" s="153" t="s">
        <v>334</v>
      </c>
      <c r="K8" s="153"/>
      <c r="L8" s="153"/>
      <c r="M8" s="153"/>
      <c r="N8" s="153"/>
    </row>
    <row r="9" spans="1:14" ht="36.75" customHeight="1">
      <c r="A9" s="155" t="s">
        <v>336</v>
      </c>
      <c r="B9" s="156">
        <f>+'[3]Stage I'!B9+'[3]Stage II'!B9</f>
        <v>11.2</v>
      </c>
      <c r="C9" s="157">
        <f>+'[3]Stage I'!C9+'[3]Stage II'!C9</f>
        <v>661.5</v>
      </c>
      <c r="D9" s="157">
        <f>+'[3]Stage I'!D9+'[3]Stage II'!D9</f>
        <v>0</v>
      </c>
      <c r="E9" s="158" t="s">
        <v>337</v>
      </c>
      <c r="F9" s="157">
        <f>+'[3]Stage I'!F9+'[3]Stage II'!F9</f>
        <v>11.2</v>
      </c>
      <c r="G9" s="154"/>
      <c r="H9" s="157">
        <f>+'[3]Stage I'!H9+'[3]Stage II'!H9</f>
        <v>661.5</v>
      </c>
      <c r="I9" s="159"/>
      <c r="J9" s="157">
        <f>+'[3]Stage I'!J9+'[3]Stage II'!J9</f>
        <v>0</v>
      </c>
      <c r="K9" s="160">
        <f>+L9-J9-H9-F9</f>
        <v>3727.66</v>
      </c>
      <c r="L9" s="160">
        <f>+M9</f>
        <v>4400.3599999999997</v>
      </c>
      <c r="M9" s="160">
        <f>+'[3]Stage I'!M9+'[3]Stage II'!L9</f>
        <v>4400.3599999999997</v>
      </c>
      <c r="N9" s="153"/>
    </row>
    <row r="10" spans="1:14" ht="33" customHeight="1">
      <c r="A10" s="155" t="s">
        <v>338</v>
      </c>
      <c r="B10" s="156">
        <f>+'[3]Stage I'!B10+'[3]Stage II'!B10</f>
        <v>0</v>
      </c>
      <c r="C10" s="157">
        <f>+'[3]Stage I'!C10+'[3]Stage II'!C10</f>
        <v>703.5</v>
      </c>
      <c r="D10" s="157">
        <f>+'[3]Stage I'!D10+'[3]Stage II'!D10</f>
        <v>0</v>
      </c>
      <c r="E10" s="157" t="s">
        <v>339</v>
      </c>
      <c r="F10" s="157">
        <f>+'[3]Stage I'!F10+'[3]Stage II'!F10</f>
        <v>0</v>
      </c>
      <c r="G10" s="154"/>
      <c r="H10" s="157">
        <f>+'[3]Stage I'!H10+'[3]Stage II'!H10</f>
        <v>703.5</v>
      </c>
      <c r="I10" s="159"/>
      <c r="J10" s="157">
        <f>+'[3]Stage I'!J10+'[3]Stage II'!J10</f>
        <v>0</v>
      </c>
      <c r="K10" s="160">
        <f t="shared" ref="K10:K13" si="0">+L10-J10-H10-F10</f>
        <v>14.700000000000045</v>
      </c>
      <c r="L10" s="160">
        <f t="shared" ref="L10:L13" si="1">+M10</f>
        <v>718.2</v>
      </c>
      <c r="M10" s="160">
        <f>+'[3]Stage I'!M10+'[3]Stage II'!L10</f>
        <v>718.2</v>
      </c>
      <c r="N10" s="153"/>
    </row>
    <row r="11" spans="1:14" ht="45" customHeight="1">
      <c r="A11" s="155" t="s">
        <v>340</v>
      </c>
      <c r="B11" s="156">
        <f>+'[3]Stage I'!B11+'[3]Stage II'!B11</f>
        <v>119.83000000000001</v>
      </c>
      <c r="C11" s="157">
        <f>+'[3]Stage I'!C11+'[3]Stage II'!C11</f>
        <v>703.5</v>
      </c>
      <c r="D11" s="157">
        <f>+'[3]Stage I'!D11+'[3]Stage II'!D11</f>
        <v>0</v>
      </c>
      <c r="E11" s="158" t="s">
        <v>341</v>
      </c>
      <c r="F11" s="157">
        <f>+'[3]Stage I'!F11+'[3]Stage II'!F11</f>
        <v>119.83000000000001</v>
      </c>
      <c r="G11" s="154"/>
      <c r="H11" s="157">
        <f>+'[3]Stage I'!H11+'[3]Stage II'!H11</f>
        <v>703.5</v>
      </c>
      <c r="I11" s="159"/>
      <c r="J11" s="157">
        <f>+'[3]Stage I'!J11+'[3]Stage II'!J11</f>
        <v>0</v>
      </c>
      <c r="K11" s="160">
        <f t="shared" si="0"/>
        <v>1522.6</v>
      </c>
      <c r="L11" s="160">
        <f t="shared" si="1"/>
        <v>2345.9299999999998</v>
      </c>
      <c r="M11" s="160">
        <f>+'[3]Stage I'!M11+'[3]Stage II'!L11</f>
        <v>2345.9299999999998</v>
      </c>
      <c r="N11" s="153"/>
    </row>
    <row r="12" spans="1:14" ht="30.75" customHeight="1">
      <c r="A12" s="155" t="s">
        <v>342</v>
      </c>
      <c r="B12" s="156">
        <f>+'[3]Stage I'!B12+'[3]Stage II'!B12</f>
        <v>0</v>
      </c>
      <c r="C12" s="157">
        <f>+'[3]Stage I'!C12+'[3]Stage II'!C12</f>
        <v>630</v>
      </c>
      <c r="D12" s="157">
        <f>+'[3]Stage I'!D12+'[3]Stage II'!D12</f>
        <v>1240.68</v>
      </c>
      <c r="E12" s="157" t="str">
        <f>+'[3]Stage I'!E12 &amp;'[3]Stage II'!E12</f>
        <v/>
      </c>
      <c r="F12" s="157">
        <f>+'[3]Stage I'!F12+'[3]Stage II'!F12</f>
        <v>0</v>
      </c>
      <c r="G12" s="154"/>
      <c r="H12" s="157">
        <f>+'[3]Stage I'!H12+'[3]Stage II'!H12</f>
        <v>630</v>
      </c>
      <c r="I12" s="159"/>
      <c r="J12" s="157">
        <f>+'[3]Stage I'!J12+'[3]Stage II'!J12</f>
        <v>1240.68</v>
      </c>
      <c r="K12" s="160">
        <f t="shared" si="0"/>
        <v>161.05999999999995</v>
      </c>
      <c r="L12" s="160">
        <f t="shared" si="1"/>
        <v>2031.74</v>
      </c>
      <c r="M12" s="160">
        <f>+'[3]Stage I'!M12+'[3]Stage II'!L12</f>
        <v>2031.74</v>
      </c>
      <c r="N12" s="153"/>
    </row>
    <row r="13" spans="1:14" ht="30.75" customHeight="1">
      <c r="A13" s="155" t="s">
        <v>343</v>
      </c>
      <c r="B13" s="156">
        <f>+'[3]Stage I'!B13+'[3]Stage II'!B13</f>
        <v>0</v>
      </c>
      <c r="C13" s="157">
        <f>+'[3]Stage I'!C13+'[3]Stage II'!C13</f>
        <v>619.5</v>
      </c>
      <c r="D13" s="157">
        <f>+'[3]Stage I'!D13+'[3]Stage II'!D13</f>
        <v>2623.3</v>
      </c>
      <c r="E13" s="157" t="str">
        <f>+'[3]Stage I'!E13 &amp;'[3]Stage II'!E13</f>
        <v/>
      </c>
      <c r="F13" s="157">
        <f>+'[3]Stage I'!F13+'[3]Stage II'!F13</f>
        <v>0</v>
      </c>
      <c r="G13" s="154"/>
      <c r="H13" s="157">
        <f>+'[3]Stage I'!H13+'[3]Stage II'!H13</f>
        <v>619.5</v>
      </c>
      <c r="I13" s="159"/>
      <c r="J13" s="157">
        <f>+'[3]Stage I'!J13+'[3]Stage II'!J13</f>
        <v>2623.3</v>
      </c>
      <c r="K13" s="160">
        <f t="shared" si="0"/>
        <v>2398.84</v>
      </c>
      <c r="L13" s="160">
        <f t="shared" si="1"/>
        <v>5641.64</v>
      </c>
      <c r="M13" s="160">
        <f>+'[3]Stage I'!M13+'[3]Stage II'!L13</f>
        <v>5641.64</v>
      </c>
      <c r="N13" s="153"/>
    </row>
    <row r="14" spans="1:14" ht="27.75" customHeight="1">
      <c r="A14" s="153" t="s">
        <v>344</v>
      </c>
      <c r="B14" s="156">
        <f>+'[3]Stage I'!B14+'[3]Stage II'!B14</f>
        <v>0</v>
      </c>
      <c r="C14" s="157">
        <f>+'[3]Stage I'!C14+'[3]Stage II'!C14</f>
        <v>735</v>
      </c>
      <c r="D14" s="157">
        <f>+'[3]Stage I'!D14+'[3]Stage II'!D14</f>
        <v>4365</v>
      </c>
      <c r="E14" s="157" t="str">
        <f>+'[3]Stage I'!E14 &amp;'[3]Stage II'!E14</f>
        <v/>
      </c>
      <c r="F14" s="157" t="s">
        <v>345</v>
      </c>
      <c r="G14" s="161"/>
      <c r="H14" s="157" t="s">
        <v>27</v>
      </c>
      <c r="I14" s="157"/>
      <c r="J14" s="157" t="s">
        <v>27</v>
      </c>
      <c r="K14" s="157" t="s">
        <v>27</v>
      </c>
      <c r="L14" s="157" t="s">
        <v>27</v>
      </c>
      <c r="M14" s="157" t="s">
        <v>27</v>
      </c>
      <c r="N14" s="153"/>
    </row>
    <row r="15" spans="1:14" ht="28.5" customHeight="1">
      <c r="A15" s="153" t="s">
        <v>36</v>
      </c>
      <c r="B15" s="156">
        <f>+'[3]Stage I'!B15+'[3]Stage II'!B15</f>
        <v>0</v>
      </c>
      <c r="C15" s="157">
        <f>+'[3]Stage I'!C15+'[3]Stage II'!C15</f>
        <v>840</v>
      </c>
      <c r="D15" s="157">
        <f>+'[3]Stage I'!D15+'[3]Stage II'!D15</f>
        <v>4642</v>
      </c>
      <c r="E15" s="157" t="str">
        <f>+'[3]Stage I'!E15 &amp;'[3]Stage II'!E15</f>
        <v/>
      </c>
      <c r="F15" s="157" t="s">
        <v>345</v>
      </c>
      <c r="G15" s="161"/>
      <c r="H15" s="157" t="s">
        <v>27</v>
      </c>
      <c r="I15" s="157"/>
      <c r="J15" s="157" t="s">
        <v>27</v>
      </c>
      <c r="K15" s="157" t="s">
        <v>27</v>
      </c>
      <c r="L15" s="157" t="s">
        <v>27</v>
      </c>
      <c r="M15" s="157" t="s">
        <v>27</v>
      </c>
      <c r="N15" s="153"/>
    </row>
    <row r="16" spans="1:14" ht="33.75" customHeight="1">
      <c r="A16" s="155" t="s">
        <v>37</v>
      </c>
      <c r="B16" s="156">
        <f>+'[3]Stage I'!B16+'[3]Stage II'!B16</f>
        <v>0</v>
      </c>
      <c r="C16" s="157">
        <f>+'[3]Stage I'!C16+'[3]Stage II'!C16</f>
        <v>840</v>
      </c>
      <c r="D16" s="157">
        <f>+'[3]Stage I'!D16+'[3]Stage II'!D16</f>
        <v>4937</v>
      </c>
      <c r="E16" s="157" t="str">
        <f>+'[3]Stage I'!E16 &amp;'[3]Stage II'!E16</f>
        <v/>
      </c>
      <c r="F16" s="157" t="s">
        <v>345</v>
      </c>
      <c r="G16" s="161"/>
      <c r="H16" s="157" t="s">
        <v>27</v>
      </c>
      <c r="I16" s="157"/>
      <c r="J16" s="157" t="s">
        <v>27</v>
      </c>
      <c r="K16" s="157" t="s">
        <v>27</v>
      </c>
      <c r="L16" s="157" t="s">
        <v>27</v>
      </c>
      <c r="M16" s="157" t="s">
        <v>27</v>
      </c>
      <c r="N16" s="153"/>
    </row>
    <row r="17" spans="1:1" ht="12.95" customHeight="1">
      <c r="A17" s="151" t="s">
        <v>346</v>
      </c>
    </row>
    <row r="18" spans="1:1">
      <c r="A18" s="151" t="s">
        <v>347</v>
      </c>
    </row>
  </sheetData>
  <mergeCells count="16">
    <mergeCell ref="E7:F7"/>
    <mergeCell ref="G7:H7"/>
    <mergeCell ref="I7:J7"/>
    <mergeCell ref="A1:N1"/>
    <mergeCell ref="A5:A6"/>
    <mergeCell ref="B5:B6"/>
    <mergeCell ref="C5:C6"/>
    <mergeCell ref="D5:D6"/>
    <mergeCell ref="E5:J5"/>
    <mergeCell ref="K5:K6"/>
    <mergeCell ref="L5:L6"/>
    <mergeCell ref="M5:M6"/>
    <mergeCell ref="N5:N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B2:O83"/>
  <sheetViews>
    <sheetView topLeftCell="A35" workbookViewId="0">
      <selection activeCell="L43" sqref="L43:M43"/>
    </sheetView>
  </sheetViews>
  <sheetFormatPr defaultRowHeight="15"/>
  <cols>
    <col min="1" max="1" width="9.33203125" style="41"/>
    <col min="2" max="2" width="7.5" style="41" customWidth="1"/>
    <col min="3" max="3" width="6.5" style="35" customWidth="1"/>
    <col min="4" max="4" width="6.6640625" style="28" customWidth="1"/>
    <col min="5" max="5" width="27" style="28" customWidth="1"/>
    <col min="6" max="6" width="13.33203125" style="41" hidden="1" customWidth="1"/>
    <col min="7" max="7" width="11" style="41" hidden="1" customWidth="1"/>
    <col min="8" max="8" width="13.1640625" style="41" customWidth="1"/>
    <col min="9" max="9" width="12.83203125" style="41" customWidth="1"/>
    <col min="10" max="10" width="11.5" style="41" customWidth="1"/>
    <col min="11" max="11" width="13.1640625" style="41" customWidth="1"/>
    <col min="12" max="12" width="12.5" style="41" customWidth="1"/>
    <col min="13" max="13" width="6.5" style="41" customWidth="1"/>
    <col min="14" max="14" width="9.33203125" style="41"/>
    <col min="15" max="15" width="10.6640625" style="41" bestFit="1" customWidth="1"/>
    <col min="16" max="16384" width="9.33203125" style="41"/>
  </cols>
  <sheetData>
    <row r="2" spans="2:13">
      <c r="B2" s="354" t="s">
        <v>409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</row>
    <row r="3" spans="2:13">
      <c r="B3" s="357" t="s">
        <v>410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9"/>
    </row>
    <row r="4" spans="2:13">
      <c r="B4" s="360" t="s">
        <v>411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2"/>
    </row>
    <row r="5" spans="2:13">
      <c r="B5" s="363" t="s">
        <v>351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5"/>
    </row>
    <row r="6" spans="2:13">
      <c r="B6" s="363" t="s">
        <v>412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5"/>
    </row>
    <row r="7" spans="2:13">
      <c r="B7" s="351" t="s">
        <v>413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3"/>
    </row>
    <row r="8" spans="2:13">
      <c r="B8" s="184" t="s">
        <v>414</v>
      </c>
      <c r="C8" s="346" t="s">
        <v>415</v>
      </c>
      <c r="D8" s="347"/>
      <c r="E8" s="290"/>
      <c r="F8" s="109" t="s">
        <v>416</v>
      </c>
      <c r="G8" s="109" t="s">
        <v>417</v>
      </c>
      <c r="H8" s="47" t="s">
        <v>418</v>
      </c>
      <c r="I8" s="47" t="s">
        <v>419</v>
      </c>
      <c r="J8" s="47" t="s">
        <v>420</v>
      </c>
      <c r="K8" s="47" t="s">
        <v>421</v>
      </c>
      <c r="L8" s="346" t="s">
        <v>422</v>
      </c>
      <c r="M8" s="290"/>
    </row>
    <row r="9" spans="2:13">
      <c r="B9" s="185">
        <v>1</v>
      </c>
      <c r="C9" s="348">
        <v>2</v>
      </c>
      <c r="D9" s="349"/>
      <c r="E9" s="350"/>
      <c r="F9" s="186"/>
      <c r="G9" s="186"/>
      <c r="H9" s="185">
        <v>3</v>
      </c>
      <c r="I9" s="185">
        <v>4</v>
      </c>
      <c r="J9" s="185">
        <v>5</v>
      </c>
      <c r="K9" s="185">
        <v>6</v>
      </c>
      <c r="L9" s="348">
        <v>7</v>
      </c>
      <c r="M9" s="350"/>
    </row>
    <row r="10" spans="2:13">
      <c r="B10" s="47" t="s">
        <v>423</v>
      </c>
      <c r="C10" s="275" t="s">
        <v>424</v>
      </c>
      <c r="D10" s="276"/>
      <c r="E10" s="288"/>
      <c r="F10" s="109"/>
      <c r="G10" s="109"/>
      <c r="H10" s="47"/>
      <c r="I10" s="47"/>
      <c r="J10" s="47"/>
      <c r="K10" s="47"/>
      <c r="L10" s="346"/>
      <c r="M10" s="290"/>
    </row>
    <row r="11" spans="2:13" ht="30">
      <c r="B11" s="185">
        <v>1</v>
      </c>
      <c r="C11" s="275" t="s">
        <v>425</v>
      </c>
      <c r="D11" s="276"/>
      <c r="E11" s="288"/>
      <c r="F11" s="109" t="str">
        <f>+[4]Sheet1!B6</f>
        <v>Stores &amp; Spares</v>
      </c>
      <c r="G11" s="109"/>
      <c r="H11" s="187">
        <f>+[4]Sheet1!C6</f>
        <v>3667.4329078000001</v>
      </c>
      <c r="I11" s="187">
        <f>+[4]Sheet1!D6</f>
        <v>3700.4656987999992</v>
      </c>
      <c r="J11" s="187">
        <f>+[4]Sheet1!E6</f>
        <v>2762.0691889</v>
      </c>
      <c r="K11" s="187">
        <f>+[4]Sheet1!F6</f>
        <v>2974.1652697999998</v>
      </c>
      <c r="L11" s="336">
        <f>+[4]Sheet1!G6</f>
        <v>4345.0281652000003</v>
      </c>
      <c r="M11" s="337"/>
    </row>
    <row r="12" spans="2:13" ht="30">
      <c r="B12" s="185">
        <v>2</v>
      </c>
      <c r="C12" s="275" t="s">
        <v>426</v>
      </c>
      <c r="D12" s="276"/>
      <c r="E12" s="288"/>
      <c r="F12" s="109" t="str">
        <f>+[4]Sheet1!B8</f>
        <v>Outside Services</v>
      </c>
      <c r="G12" s="109"/>
      <c r="H12" s="187">
        <f>+[4]Sheet1!C8</f>
        <v>3245.1724399999998</v>
      </c>
      <c r="I12" s="187">
        <f>+[4]Sheet1!D8</f>
        <v>3454.8671800000002</v>
      </c>
      <c r="J12" s="187">
        <f>+[4]Sheet1!E8</f>
        <v>3538.9520381800003</v>
      </c>
      <c r="K12" s="187">
        <f>+[4]Sheet1!F8</f>
        <v>3912.5662400000001</v>
      </c>
      <c r="L12" s="336">
        <f>+[4]Sheet1!G8</f>
        <v>4635.5355663</v>
      </c>
      <c r="M12" s="337"/>
    </row>
    <row r="13" spans="2:13" ht="30">
      <c r="B13" s="185">
        <v>3</v>
      </c>
      <c r="C13" s="275" t="s">
        <v>427</v>
      </c>
      <c r="D13" s="276"/>
      <c r="E13" s="288"/>
      <c r="F13" s="109" t="str">
        <f>+[4]Sheet1!B11</f>
        <v>Other Expenditure</v>
      </c>
      <c r="G13" s="109" t="s">
        <v>428</v>
      </c>
      <c r="H13" s="187">
        <v>102.41907999999999</v>
      </c>
      <c r="I13" s="187">
        <v>103.25189</v>
      </c>
      <c r="J13" s="187">
        <v>110.00919500000001</v>
      </c>
      <c r="K13" s="187">
        <v>107.19805000000001</v>
      </c>
      <c r="L13" s="336">
        <f>0.896337*100</f>
        <v>89.633700000000005</v>
      </c>
      <c r="M13" s="337"/>
    </row>
    <row r="14" spans="2:13">
      <c r="B14" s="185">
        <v>4</v>
      </c>
      <c r="C14" s="275" t="s">
        <v>429</v>
      </c>
      <c r="D14" s="276"/>
      <c r="E14" s="288"/>
      <c r="F14" s="109"/>
      <c r="G14" s="109"/>
      <c r="H14" s="187"/>
      <c r="I14" s="187"/>
      <c r="J14" s="187"/>
      <c r="K14" s="187"/>
      <c r="L14" s="336"/>
      <c r="M14" s="337"/>
    </row>
    <row r="15" spans="2:13">
      <c r="B15" s="188">
        <v>4.0999999999999996</v>
      </c>
      <c r="C15" s="275" t="s">
        <v>430</v>
      </c>
      <c r="D15" s="276"/>
      <c r="E15" s="288"/>
      <c r="F15" s="109"/>
      <c r="G15" s="109"/>
      <c r="H15" s="187">
        <f>+[4]Sheet1!C38</f>
        <v>680.37720999999999</v>
      </c>
      <c r="I15" s="187">
        <f>+[4]Sheet1!D38</f>
        <v>854.30562829999997</v>
      </c>
      <c r="J15" s="187">
        <f>+[4]Sheet1!E38</f>
        <v>966.89983629999995</v>
      </c>
      <c r="K15" s="187">
        <f>+[4]Sheet1!F38</f>
        <v>872.08372700000007</v>
      </c>
      <c r="L15" s="336">
        <f>+[4]Sheet1!G38</f>
        <v>1041.82176</v>
      </c>
      <c r="M15" s="337"/>
    </row>
    <row r="16" spans="2:13" ht="30">
      <c r="B16" s="185">
        <v>5</v>
      </c>
      <c r="C16" s="275" t="s">
        <v>431</v>
      </c>
      <c r="D16" s="276"/>
      <c r="E16" s="288"/>
      <c r="F16" s="109" t="str">
        <f>+[4]Sheet1!B9</f>
        <v>Internal Services</v>
      </c>
      <c r="G16" s="109"/>
      <c r="H16" s="187">
        <f>+[4]Sheet1!C28</f>
        <v>248.842952</v>
      </c>
      <c r="I16" s="187">
        <f>+[4]Sheet1!D28</f>
        <v>244.68116400000002</v>
      </c>
      <c r="J16" s="187">
        <f>+[4]Sheet1!E28</f>
        <v>319.96022591999997</v>
      </c>
      <c r="K16" s="187">
        <f>+[4]Sheet1!F28</f>
        <v>321.99861400000003</v>
      </c>
      <c r="L16" s="336">
        <f>+[4]Sheet1!G28</f>
        <v>321.15775399999995</v>
      </c>
      <c r="M16" s="337"/>
    </row>
    <row r="17" spans="2:13" ht="30">
      <c r="B17" s="185">
        <v>6</v>
      </c>
      <c r="C17" s="275" t="s">
        <v>432</v>
      </c>
      <c r="D17" s="276"/>
      <c r="E17" s="288"/>
      <c r="F17" s="109" t="str">
        <f>+[4]Sheet1!$B$11</f>
        <v>Other Expenditure</v>
      </c>
      <c r="G17" s="109"/>
      <c r="H17" s="187"/>
      <c r="I17" s="187"/>
      <c r="J17" s="187"/>
      <c r="K17" s="187"/>
      <c r="L17" s="336"/>
      <c r="M17" s="337"/>
    </row>
    <row r="18" spans="2:13" ht="30">
      <c r="B18" s="188">
        <v>6.1</v>
      </c>
      <c r="C18" s="275" t="s">
        <v>433</v>
      </c>
      <c r="D18" s="276"/>
      <c r="E18" s="288"/>
      <c r="F18" s="109" t="str">
        <f>+[4]Sheet1!$B$11</f>
        <v>Other Expenditure</v>
      </c>
      <c r="G18" s="109"/>
      <c r="H18" s="187"/>
      <c r="I18" s="187"/>
      <c r="J18" s="187"/>
      <c r="K18" s="187"/>
      <c r="L18" s="336"/>
      <c r="M18" s="337"/>
    </row>
    <row r="19" spans="2:13" ht="30">
      <c r="B19" s="188">
        <v>6.2</v>
      </c>
      <c r="C19" s="275" t="s">
        <v>434</v>
      </c>
      <c r="D19" s="276"/>
      <c r="E19" s="288"/>
      <c r="F19" s="109" t="str">
        <f>+[4]Sheet1!$B$11</f>
        <v>Other Expenditure</v>
      </c>
      <c r="G19" s="109"/>
      <c r="H19" s="187"/>
      <c r="I19" s="187"/>
      <c r="J19" s="187"/>
      <c r="K19" s="187"/>
      <c r="L19" s="336"/>
      <c r="M19" s="337"/>
    </row>
    <row r="20" spans="2:13" ht="30">
      <c r="B20" s="188">
        <v>6.3</v>
      </c>
      <c r="C20" s="275" t="s">
        <v>435</v>
      </c>
      <c r="D20" s="276"/>
      <c r="E20" s="288"/>
      <c r="F20" s="109" t="str">
        <f>+[4]Sheet1!$B$11</f>
        <v>Other Expenditure</v>
      </c>
      <c r="G20" s="109"/>
      <c r="H20" s="187">
        <v>43.13926</v>
      </c>
      <c r="I20" s="187">
        <v>44.236849999999997</v>
      </c>
      <c r="J20" s="187">
        <v>36.386919999999989</v>
      </c>
      <c r="K20" s="187">
        <v>49.253152400000005</v>
      </c>
      <c r="L20" s="336">
        <v>35.423273000000002</v>
      </c>
      <c r="M20" s="337"/>
    </row>
    <row r="21" spans="2:13" ht="30">
      <c r="B21" s="188">
        <v>6.4</v>
      </c>
      <c r="C21" s="275" t="s">
        <v>436</v>
      </c>
      <c r="D21" s="276"/>
      <c r="E21" s="288"/>
      <c r="F21" s="109" t="str">
        <f>+[4]Sheet1!$B$11</f>
        <v>Other Expenditure</v>
      </c>
      <c r="G21" s="109"/>
      <c r="H21" s="187">
        <v>0.24421500000000002</v>
      </c>
      <c r="I21" s="187">
        <v>0.30487500000000001</v>
      </c>
      <c r="J21" s="187">
        <v>0.54801499999999992</v>
      </c>
      <c r="K21" s="187">
        <v>0.35835669999999997</v>
      </c>
      <c r="L21" s="336">
        <v>0.15806580000000001</v>
      </c>
      <c r="M21" s="337"/>
    </row>
    <row r="22" spans="2:13" ht="30">
      <c r="B22" s="188">
        <v>6.5</v>
      </c>
      <c r="C22" s="275" t="s">
        <v>437</v>
      </c>
      <c r="D22" s="276"/>
      <c r="E22" s="288"/>
      <c r="F22" s="109" t="str">
        <f>+[4]Sheet1!$B$11</f>
        <v>Other Expenditure</v>
      </c>
      <c r="G22" s="109"/>
      <c r="H22" s="187"/>
      <c r="I22" s="187"/>
      <c r="J22" s="187"/>
      <c r="K22" s="187"/>
      <c r="L22" s="336"/>
      <c r="M22" s="337"/>
    </row>
    <row r="23" spans="2:13" ht="30">
      <c r="B23" s="188">
        <v>6.6</v>
      </c>
      <c r="C23" s="275" t="s">
        <v>438</v>
      </c>
      <c r="D23" s="276"/>
      <c r="E23" s="288"/>
      <c r="F23" s="109" t="str">
        <f>+[4]Sheet1!$B$11</f>
        <v>Other Expenditure</v>
      </c>
      <c r="G23" s="109"/>
      <c r="H23" s="187"/>
      <c r="I23" s="187"/>
      <c r="J23" s="187"/>
      <c r="K23" s="187"/>
      <c r="L23" s="336"/>
      <c r="M23" s="337"/>
    </row>
    <row r="24" spans="2:13" ht="30">
      <c r="B24" s="188">
        <v>6.7</v>
      </c>
      <c r="C24" s="275" t="s">
        <v>439</v>
      </c>
      <c r="D24" s="276"/>
      <c r="E24" s="288"/>
      <c r="F24" s="109" t="str">
        <f>+[4]Sheet1!$B$11</f>
        <v>Other Expenditure</v>
      </c>
      <c r="G24" s="109"/>
      <c r="H24" s="187"/>
      <c r="I24" s="187"/>
      <c r="J24" s="187"/>
      <c r="K24" s="187"/>
      <c r="L24" s="336"/>
      <c r="M24" s="337"/>
    </row>
    <row r="25" spans="2:13" ht="30">
      <c r="B25" s="188">
        <v>6.8</v>
      </c>
      <c r="C25" s="275" t="s">
        <v>440</v>
      </c>
      <c r="D25" s="276"/>
      <c r="E25" s="288"/>
      <c r="F25" s="109" t="str">
        <f>+[4]Sheet1!$B$11</f>
        <v>Other Expenditure</v>
      </c>
      <c r="G25" s="109"/>
      <c r="H25" s="187">
        <v>20.215</v>
      </c>
      <c r="I25" s="187">
        <v>21.414999999999999</v>
      </c>
      <c r="J25" s="187">
        <v>22.695</v>
      </c>
      <c r="K25" s="187">
        <v>20.260000000000002</v>
      </c>
      <c r="L25" s="336">
        <v>3.5542799999999999</v>
      </c>
      <c r="M25" s="337"/>
    </row>
    <row r="26" spans="2:13" ht="30">
      <c r="B26" s="188">
        <v>6.9</v>
      </c>
      <c r="C26" s="275" t="s">
        <v>441</v>
      </c>
      <c r="D26" s="276"/>
      <c r="E26" s="288"/>
      <c r="F26" s="109" t="str">
        <f>+[4]Sheet1!$B$11</f>
        <v>Other Expenditure</v>
      </c>
      <c r="G26" s="109"/>
      <c r="H26" s="187"/>
      <c r="I26" s="187"/>
      <c r="J26" s="187"/>
      <c r="K26" s="187"/>
      <c r="L26" s="336"/>
      <c r="M26" s="337"/>
    </row>
    <row r="27" spans="2:13" ht="30">
      <c r="B27" s="47"/>
      <c r="C27" s="275" t="s">
        <v>442</v>
      </c>
      <c r="D27" s="276"/>
      <c r="E27" s="288"/>
      <c r="F27" s="109" t="str">
        <f>+[4]Sheet1!$B$11</f>
        <v>Other Expenditure</v>
      </c>
      <c r="G27" s="109"/>
      <c r="H27" s="187">
        <f>+SUM(H18:H26)</f>
        <v>63.598474999999993</v>
      </c>
      <c r="I27" s="187">
        <f t="shared" ref="I27:K27" si="0">+SUM(I18:I26)</f>
        <v>65.956725000000006</v>
      </c>
      <c r="J27" s="187">
        <f t="shared" si="0"/>
        <v>59.629934999999989</v>
      </c>
      <c r="K27" s="187">
        <f t="shared" si="0"/>
        <v>69.871509100000011</v>
      </c>
      <c r="L27" s="336">
        <f>+SUM(L18:M26)</f>
        <v>39.135618800000003</v>
      </c>
      <c r="M27" s="337"/>
    </row>
    <row r="28" spans="2:13" ht="45">
      <c r="B28" s="185">
        <v>7</v>
      </c>
      <c r="C28" s="275" t="s">
        <v>443</v>
      </c>
      <c r="D28" s="276"/>
      <c r="E28" s="288"/>
      <c r="F28" s="109" t="str">
        <f>+[4]Sheet1!$B$7</f>
        <v>Remuneration &amp; Benefits</v>
      </c>
      <c r="G28" s="109"/>
      <c r="H28" s="187"/>
      <c r="I28" s="187"/>
      <c r="J28" s="187"/>
      <c r="K28" s="187"/>
      <c r="L28" s="336"/>
      <c r="M28" s="337"/>
    </row>
    <row r="29" spans="2:13" ht="45">
      <c r="B29" s="188">
        <v>7.1</v>
      </c>
      <c r="C29" s="275" t="s">
        <v>444</v>
      </c>
      <c r="D29" s="276"/>
      <c r="E29" s="288"/>
      <c r="F29" s="109" t="str">
        <f>+[4]Sheet1!$B$7</f>
        <v>Remuneration &amp; Benefits</v>
      </c>
      <c r="G29" s="109" t="s">
        <v>445</v>
      </c>
      <c r="H29" s="187">
        <v>17490.069467900004</v>
      </c>
      <c r="I29" s="187">
        <v>18457.149506899994</v>
      </c>
      <c r="J29" s="187">
        <v>18637.8524029</v>
      </c>
      <c r="K29" s="187">
        <f>17996.1209448-K32</f>
        <v>17846.1709448</v>
      </c>
      <c r="L29" s="336">
        <v>18818.786818599994</v>
      </c>
      <c r="M29" s="337"/>
    </row>
    <row r="30" spans="2:13" ht="45">
      <c r="B30" s="188">
        <v>7.2</v>
      </c>
      <c r="C30" s="275" t="s">
        <v>446</v>
      </c>
      <c r="D30" s="276"/>
      <c r="E30" s="288"/>
      <c r="F30" s="109" t="str">
        <f>+[4]Sheet1!$B$7</f>
        <v>Remuneration &amp; Benefits</v>
      </c>
      <c r="G30" s="109" t="s">
        <v>447</v>
      </c>
      <c r="H30" s="187">
        <v>1400.8265735999998</v>
      </c>
      <c r="I30" s="187">
        <v>1368.9641315000001</v>
      </c>
      <c r="J30" s="187">
        <v>1354.5226103999998</v>
      </c>
      <c r="K30" s="187">
        <v>1505.6348434000001</v>
      </c>
      <c r="L30" s="336">
        <f>14.989839396*100</f>
        <v>1498.9839396</v>
      </c>
      <c r="M30" s="337"/>
    </row>
    <row r="31" spans="2:13" ht="45">
      <c r="B31" s="188">
        <v>7.3</v>
      </c>
      <c r="C31" s="275" t="s">
        <v>448</v>
      </c>
      <c r="D31" s="276"/>
      <c r="E31" s="288"/>
      <c r="F31" s="109" t="str">
        <f>+[4]Sheet1!$B$7</f>
        <v>Remuneration &amp; Benefits</v>
      </c>
      <c r="G31" s="109" t="s">
        <v>449</v>
      </c>
      <c r="H31" s="187">
        <v>1644.6744028999999</v>
      </c>
      <c r="I31" s="187">
        <v>2797.7139849</v>
      </c>
      <c r="J31" s="187">
        <v>2032.0556604000001</v>
      </c>
      <c r="K31" s="187">
        <v>2042.5141742000001</v>
      </c>
      <c r="L31" s="336">
        <v>2290.6380901999996</v>
      </c>
      <c r="M31" s="337"/>
    </row>
    <row r="32" spans="2:13" ht="45">
      <c r="B32" s="188">
        <v>7.4</v>
      </c>
      <c r="C32" s="275" t="s">
        <v>450</v>
      </c>
      <c r="D32" s="276"/>
      <c r="E32" s="288"/>
      <c r="F32" s="109" t="str">
        <f>+[4]Sheet1!$B$7</f>
        <v>Remuneration &amp; Benefits</v>
      </c>
      <c r="G32" s="109"/>
      <c r="H32" s="187"/>
      <c r="I32" s="187"/>
      <c r="J32" s="187"/>
      <c r="K32" s="187">
        <v>149.94999999999999</v>
      </c>
      <c r="L32" s="336"/>
      <c r="M32" s="337"/>
    </row>
    <row r="33" spans="2:13" ht="75">
      <c r="B33" s="188">
        <v>7.5</v>
      </c>
      <c r="C33" s="275" t="s">
        <v>451</v>
      </c>
      <c r="D33" s="276"/>
      <c r="E33" s="288"/>
      <c r="F33" s="109" t="str">
        <f>+[4]Sheet1!$B$7</f>
        <v>Remuneration &amp; Benefits</v>
      </c>
      <c r="G33" s="109" t="s">
        <v>452</v>
      </c>
      <c r="H33" s="187">
        <v>3178.5739399999998</v>
      </c>
      <c r="I33" s="187">
        <v>3389.74082</v>
      </c>
      <c r="J33" s="187">
        <v>3553.98596</v>
      </c>
      <c r="K33" s="187">
        <v>3152.9416299999998</v>
      </c>
      <c r="L33" s="336">
        <f>39.461922153*100</f>
        <v>3946.1922153000005</v>
      </c>
      <c r="M33" s="337"/>
    </row>
    <row r="34" spans="2:13" ht="45">
      <c r="B34" s="188">
        <v>7.6</v>
      </c>
      <c r="C34" s="275" t="s">
        <v>453</v>
      </c>
      <c r="D34" s="276"/>
      <c r="E34" s="288"/>
      <c r="F34" s="109" t="str">
        <f>+[4]Sheet1!$B$7</f>
        <v>Remuneration &amp; Benefits</v>
      </c>
      <c r="G34" s="109"/>
      <c r="H34" s="187"/>
      <c r="I34" s="187"/>
      <c r="J34" s="187"/>
      <c r="K34" s="187"/>
      <c r="L34" s="336"/>
      <c r="M34" s="337"/>
    </row>
    <row r="35" spans="2:13" ht="45">
      <c r="B35" s="47"/>
      <c r="C35" s="275" t="s">
        <v>454</v>
      </c>
      <c r="D35" s="276"/>
      <c r="E35" s="288"/>
      <c r="F35" s="109" t="str">
        <f>+[4]Sheet1!$B$7</f>
        <v>Remuneration &amp; Benefits</v>
      </c>
      <c r="G35" s="109"/>
      <c r="H35" s="187">
        <f>+SUM(H29:H34)</f>
        <v>23714.144384400002</v>
      </c>
      <c r="I35" s="187">
        <f t="shared" ref="I35:K35" si="1">+SUM(I29:I34)</f>
        <v>26013.568443299995</v>
      </c>
      <c r="J35" s="187">
        <f t="shared" si="1"/>
        <v>25578.416633699999</v>
      </c>
      <c r="K35" s="187">
        <f t="shared" si="1"/>
        <v>24697.211592400003</v>
      </c>
      <c r="L35" s="336">
        <f>+SUM(L29:M34)</f>
        <v>26554.601063699993</v>
      </c>
      <c r="M35" s="337"/>
    </row>
    <row r="36" spans="2:13">
      <c r="B36" s="185">
        <v>8</v>
      </c>
      <c r="C36" s="275" t="s">
        <v>455</v>
      </c>
      <c r="D36" s="276"/>
      <c r="E36" s="288"/>
      <c r="F36" s="109"/>
      <c r="G36" s="109"/>
      <c r="H36" s="187"/>
      <c r="I36" s="187"/>
      <c r="J36" s="187"/>
      <c r="K36" s="187"/>
      <c r="L36" s="336"/>
      <c r="M36" s="337"/>
    </row>
    <row r="37" spans="2:13" ht="30">
      <c r="B37" s="185">
        <v>9</v>
      </c>
      <c r="C37" s="275" t="s">
        <v>456</v>
      </c>
      <c r="D37" s="276"/>
      <c r="E37" s="288"/>
      <c r="F37" s="109" t="str">
        <f>+[4]Sheet1!B11</f>
        <v>Other Expenditure</v>
      </c>
      <c r="G37" s="109" t="s">
        <v>457</v>
      </c>
      <c r="H37" s="187"/>
      <c r="I37" s="187"/>
      <c r="J37" s="187"/>
      <c r="K37" s="187"/>
      <c r="L37" s="336"/>
      <c r="M37" s="337"/>
    </row>
    <row r="38" spans="2:13">
      <c r="B38" s="185">
        <v>10</v>
      </c>
      <c r="C38" s="275" t="s">
        <v>458</v>
      </c>
      <c r="D38" s="276"/>
      <c r="E38" s="288"/>
      <c r="F38" s="109"/>
      <c r="G38" s="109"/>
      <c r="H38" s="187"/>
      <c r="I38" s="187"/>
      <c r="J38" s="187"/>
      <c r="K38" s="187"/>
      <c r="L38" s="336"/>
      <c r="M38" s="337"/>
    </row>
    <row r="39" spans="2:13" ht="30">
      <c r="B39" s="185">
        <v>11</v>
      </c>
      <c r="C39" s="275" t="s">
        <v>459</v>
      </c>
      <c r="D39" s="276"/>
      <c r="E39" s="288"/>
      <c r="F39" s="109" t="str">
        <f>+[4]Sheet1!B10</f>
        <v>Common Charges</v>
      </c>
      <c r="G39" s="109" t="s">
        <v>460</v>
      </c>
      <c r="H39" s="187">
        <f>+[4]Sheet1!C10</f>
        <v>7582.3651024000001</v>
      </c>
      <c r="I39" s="187">
        <f>+[4]Sheet1!D10</f>
        <v>9759.7616519000003</v>
      </c>
      <c r="J39" s="187">
        <f>+[4]Sheet1!E10</f>
        <v>9822.1775980999992</v>
      </c>
      <c r="K39" s="187">
        <f>+[4]Sheet1!F10</f>
        <v>10581.6118525</v>
      </c>
      <c r="L39" s="336">
        <f>+[4]Sheet1!G10</f>
        <v>9788.2674324000018</v>
      </c>
      <c r="M39" s="337"/>
    </row>
    <row r="40" spans="2:13">
      <c r="B40" s="185">
        <v>12</v>
      </c>
      <c r="C40" s="275" t="s">
        <v>461</v>
      </c>
      <c r="D40" s="276"/>
      <c r="E40" s="288"/>
      <c r="F40" s="109"/>
      <c r="G40" s="109"/>
      <c r="H40" s="187">
        <f>+[4]Sheet1!C11-'[4]Table 1'!H13-'[4]Table 1'!H27+[4]Sheet1!C29-[4]Sheet1!C38</f>
        <v>2344.0209912</v>
      </c>
      <c r="I40" s="187">
        <f>+[4]Sheet1!D11-'[4]Table 1'!I13-'[4]Table 1'!I27+[4]Sheet1!D29-[4]Sheet1!D38</f>
        <v>2657.5303521000005</v>
      </c>
      <c r="J40" s="187">
        <f>+[4]Sheet1!E11-'[4]Table 1'!J13-'[4]Table 1'!J27+[4]Sheet1!E29-[4]Sheet1!E38</f>
        <v>2803.9551422999994</v>
      </c>
      <c r="K40" s="187">
        <f>+[4]Sheet1!F11-'[4]Table 1'!K13-'[4]Table 1'!K27+[4]Sheet1!F29-[4]Sheet1!F38</f>
        <v>1378.7381761999995</v>
      </c>
      <c r="L40" s="336">
        <f>+[4]Sheet1!G11-'[4]Table 1'!L13-'[4]Table 1'!L27+[4]Sheet1!G29-[4]Sheet1!G38</f>
        <v>1496.5504372999997</v>
      </c>
      <c r="M40" s="337"/>
    </row>
    <row r="41" spans="2:13">
      <c r="B41" s="185">
        <v>14</v>
      </c>
      <c r="C41" s="275" t="s">
        <v>462</v>
      </c>
      <c r="D41" s="276"/>
      <c r="E41" s="288"/>
      <c r="F41" s="109"/>
      <c r="G41" s="109"/>
      <c r="H41" s="187">
        <f>+SUM(H11:H16)+H27+H35+SUM(H36:H40)</f>
        <v>41648.3735428</v>
      </c>
      <c r="I41" s="187">
        <f t="shared" ref="I41:L41" si="2">+SUM(I11:I16)+I27+I35+SUM(I36:I40)</f>
        <v>46854.388733399996</v>
      </c>
      <c r="J41" s="187">
        <f t="shared" si="2"/>
        <v>45962.069793399998</v>
      </c>
      <c r="K41" s="187">
        <f t="shared" si="2"/>
        <v>44915.445031000003</v>
      </c>
      <c r="L41" s="336">
        <f t="shared" si="2"/>
        <v>48311.731497699999</v>
      </c>
      <c r="M41" s="337"/>
    </row>
    <row r="42" spans="2:13" ht="30">
      <c r="B42" s="189" t="s">
        <v>463</v>
      </c>
      <c r="C42" s="275" t="s">
        <v>464</v>
      </c>
      <c r="D42" s="276"/>
      <c r="E42" s="288"/>
      <c r="F42" s="109" t="str">
        <f>+[4]Sheet1!B13</f>
        <v>Recovery -Others</v>
      </c>
      <c r="G42" s="109" t="s">
        <v>465</v>
      </c>
      <c r="H42" s="187">
        <f>+[4]Sheet1!C13</f>
        <v>104.79431779999999</v>
      </c>
      <c r="I42" s="187">
        <f>+[4]Sheet1!D13</f>
        <v>32.757438000000008</v>
      </c>
      <c r="J42" s="187">
        <f>+[4]Sheet1!E13</f>
        <v>12.665506000000001</v>
      </c>
      <c r="K42" s="187">
        <f>+[4]Sheet1!F13</f>
        <v>14.115534800000002</v>
      </c>
      <c r="L42" s="336">
        <f>+[4]Sheet1!G13+[4]Sheet1!G15</f>
        <v>39.050470700000005</v>
      </c>
      <c r="M42" s="337"/>
    </row>
    <row r="43" spans="2:13">
      <c r="B43" s="185">
        <v>15</v>
      </c>
      <c r="C43" s="275" t="s">
        <v>466</v>
      </c>
      <c r="D43" s="276"/>
      <c r="E43" s="288"/>
      <c r="F43" s="109"/>
      <c r="G43" s="109"/>
      <c r="H43" s="187">
        <f>+H41-H42</f>
        <v>41543.579225000001</v>
      </c>
      <c r="I43" s="187">
        <f t="shared" ref="I43:K43" si="3">+I41-I42</f>
        <v>46821.631295399995</v>
      </c>
      <c r="J43" s="187">
        <f t="shared" si="3"/>
        <v>45949.404287400001</v>
      </c>
      <c r="K43" s="187">
        <f t="shared" si="3"/>
        <v>44901.3294962</v>
      </c>
      <c r="L43" s="336">
        <f>+L41-L42</f>
        <v>48272.681026999999</v>
      </c>
      <c r="M43" s="337"/>
    </row>
    <row r="44" spans="2:13">
      <c r="B44" s="185">
        <v>16</v>
      </c>
      <c r="C44" s="275" t="s">
        <v>467</v>
      </c>
      <c r="D44" s="276"/>
      <c r="E44" s="288"/>
      <c r="F44" s="109"/>
      <c r="G44" s="109"/>
      <c r="H44" s="47"/>
      <c r="I44" s="47"/>
      <c r="J44" s="47"/>
      <c r="K44" s="47"/>
      <c r="L44" s="346"/>
      <c r="M44" s="290"/>
    </row>
    <row r="45" spans="2:13" ht="28.5">
      <c r="B45" s="47" t="s">
        <v>468</v>
      </c>
      <c r="C45" s="346"/>
      <c r="D45" s="290"/>
      <c r="E45" s="346"/>
      <c r="F45" s="347"/>
      <c r="G45" s="347"/>
      <c r="H45" s="347"/>
      <c r="I45" s="290"/>
      <c r="J45" s="47"/>
      <c r="K45" s="346"/>
      <c r="L45" s="347"/>
      <c r="M45" s="290"/>
    </row>
    <row r="46" spans="2:13">
      <c r="B46" s="343" t="s">
        <v>487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5"/>
      <c r="M46" s="200"/>
    </row>
    <row r="47" spans="2:13">
      <c r="B47" s="341" t="s">
        <v>488</v>
      </c>
      <c r="C47" s="293"/>
      <c r="D47" s="293"/>
      <c r="E47" s="293"/>
      <c r="F47" s="293"/>
      <c r="G47" s="293"/>
      <c r="H47" s="293"/>
      <c r="I47" s="293"/>
      <c r="J47" s="293"/>
      <c r="K47" s="293"/>
      <c r="L47" s="342"/>
      <c r="M47" s="200"/>
    </row>
    <row r="48" spans="2:13">
      <c r="B48" s="341" t="s">
        <v>489</v>
      </c>
      <c r="C48" s="293"/>
      <c r="D48" s="293"/>
      <c r="E48" s="293"/>
      <c r="F48" s="293"/>
      <c r="G48" s="293"/>
      <c r="H48" s="293"/>
      <c r="I48" s="293"/>
      <c r="J48" s="293"/>
      <c r="K48" s="293"/>
      <c r="L48" s="342"/>
      <c r="M48" s="200"/>
    </row>
    <row r="49" spans="2:13">
      <c r="B49" s="341" t="s">
        <v>490</v>
      </c>
      <c r="C49" s="293"/>
      <c r="D49" s="293"/>
      <c r="E49" s="293"/>
      <c r="F49" s="293"/>
      <c r="G49" s="293"/>
      <c r="H49" s="293"/>
      <c r="I49" s="293"/>
      <c r="J49" s="293"/>
      <c r="K49" s="293"/>
      <c r="L49" s="342"/>
      <c r="M49" s="200"/>
    </row>
    <row r="50" spans="2:13">
      <c r="B50" s="341" t="s">
        <v>491</v>
      </c>
      <c r="C50" s="293"/>
      <c r="D50" s="293"/>
      <c r="E50" s="293"/>
      <c r="F50" s="293"/>
      <c r="G50" s="293"/>
      <c r="H50" s="293"/>
      <c r="I50" s="293"/>
      <c r="J50" s="293"/>
      <c r="K50" s="293"/>
      <c r="L50" s="342"/>
      <c r="M50" s="200"/>
    </row>
    <row r="51" spans="2:13">
      <c r="B51" s="341" t="s">
        <v>492</v>
      </c>
      <c r="C51" s="293"/>
      <c r="D51" s="293"/>
      <c r="E51" s="293"/>
      <c r="F51" s="293"/>
      <c r="G51" s="293"/>
      <c r="H51" s="293"/>
      <c r="I51" s="293"/>
      <c r="J51" s="293"/>
      <c r="K51" s="293"/>
      <c r="L51" s="342"/>
      <c r="M51" s="200"/>
    </row>
    <row r="52" spans="2:13">
      <c r="B52" s="341" t="s">
        <v>493</v>
      </c>
      <c r="C52" s="293"/>
      <c r="D52" s="293"/>
      <c r="E52" s="293"/>
      <c r="F52" s="293"/>
      <c r="G52" s="293"/>
      <c r="H52" s="293"/>
      <c r="I52" s="293"/>
      <c r="J52" s="293"/>
      <c r="K52" s="293"/>
      <c r="L52" s="342"/>
      <c r="M52" s="200"/>
    </row>
    <row r="53" spans="2:13">
      <c r="B53" s="341" t="s">
        <v>495</v>
      </c>
      <c r="C53" s="293"/>
      <c r="D53" s="293"/>
      <c r="E53" s="293"/>
      <c r="F53" s="293"/>
      <c r="G53" s="293"/>
      <c r="H53" s="293"/>
      <c r="I53" s="293"/>
      <c r="J53" s="293"/>
      <c r="K53" s="293"/>
      <c r="L53" s="342"/>
      <c r="M53" s="200"/>
    </row>
    <row r="54" spans="2:13">
      <c r="B54" s="338" t="s">
        <v>494</v>
      </c>
      <c r="C54" s="339"/>
      <c r="D54" s="339"/>
      <c r="E54" s="339"/>
      <c r="F54" s="339"/>
      <c r="G54" s="339"/>
      <c r="H54" s="339"/>
      <c r="I54" s="339"/>
      <c r="J54" s="339"/>
      <c r="K54" s="339"/>
      <c r="L54" s="340"/>
      <c r="M54" s="200"/>
    </row>
    <row r="55" spans="2:13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</row>
    <row r="56" spans="2:13" ht="15" customHeight="1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</row>
    <row r="57" spans="2:13" ht="15" hidden="1" customHeight="1"/>
    <row r="58" spans="2:13" ht="15" hidden="1" customHeight="1">
      <c r="H58" s="190">
        <v>41543.579225000001</v>
      </c>
      <c r="I58" s="190">
        <v>46821.631295399995</v>
      </c>
      <c r="J58" s="190">
        <v>45949.404287400001</v>
      </c>
      <c r="K58" s="190">
        <v>44901.329496200007</v>
      </c>
      <c r="L58" s="191">
        <v>48272.681026999999</v>
      </c>
    </row>
    <row r="59" spans="2:13" ht="16.5" hidden="1" customHeight="1">
      <c r="H59" s="191">
        <f>+H58-H43</f>
        <v>0</v>
      </c>
      <c r="I59" s="191">
        <f>+I58-I43</f>
        <v>0</v>
      </c>
      <c r="J59" s="191">
        <f>+J58-J43</f>
        <v>0</v>
      </c>
      <c r="K59" s="191">
        <f>+K58-K43</f>
        <v>0</v>
      </c>
      <c r="L59" s="191">
        <f>+L58-L43</f>
        <v>0</v>
      </c>
    </row>
    <row r="60" spans="2:13" ht="27.75" customHeight="1"/>
    <row r="61" spans="2:13" ht="15" customHeight="1">
      <c r="E61" s="193" t="s">
        <v>469</v>
      </c>
      <c r="F61" s="108"/>
      <c r="G61" s="108"/>
      <c r="H61" s="47" t="s">
        <v>418</v>
      </c>
      <c r="I61" s="47" t="s">
        <v>419</v>
      </c>
      <c r="J61" s="47" t="s">
        <v>420</v>
      </c>
      <c r="K61" s="7" t="s">
        <v>421</v>
      </c>
      <c r="L61" s="30" t="s">
        <v>422</v>
      </c>
      <c r="M61" s="3"/>
    </row>
    <row r="62" spans="2:13" ht="15" customHeight="1">
      <c r="E62" s="37" t="s">
        <v>470</v>
      </c>
      <c r="F62" s="108"/>
      <c r="G62" s="108"/>
      <c r="H62" s="194">
        <f>+[4]Sheet1!C29-[4]Sheet1!C38</f>
        <v>2171.2379311999998</v>
      </c>
      <c r="I62" s="194">
        <f>+[4]Sheet1!D29-[4]Sheet1!D38</f>
        <v>2480.0428521000003</v>
      </c>
      <c r="J62" s="194">
        <f>+[4]Sheet1!E29-[4]Sheet1!E38</f>
        <v>2636.2801059999993</v>
      </c>
      <c r="K62" s="194">
        <f>+[4]Sheet1!F29-[4]Sheet1!F38</f>
        <v>1151.9377353</v>
      </c>
      <c r="L62" s="194">
        <f>+[4]Sheet1!G29-[4]Sheet1!G38</f>
        <v>1218.9058494999997</v>
      </c>
    </row>
    <row r="63" spans="2:13" ht="15" customHeight="1">
      <c r="E63" s="37" t="s">
        <v>471</v>
      </c>
      <c r="F63" s="108"/>
      <c r="G63" s="108"/>
      <c r="H63" s="194">
        <v>2.87764</v>
      </c>
      <c r="I63" s="194">
        <v>4.3999999999999997E-2</v>
      </c>
      <c r="J63" s="194">
        <v>0</v>
      </c>
      <c r="K63" s="194">
        <v>9.1842100000000002</v>
      </c>
      <c r="L63" s="194">
        <v>0.21174999999999999</v>
      </c>
    </row>
    <row r="64" spans="2:13" ht="15" customHeight="1">
      <c r="E64" s="37" t="s">
        <v>472</v>
      </c>
      <c r="F64" s="108"/>
      <c r="G64" s="108"/>
      <c r="H64" s="194">
        <v>33.293120000000002</v>
      </c>
      <c r="I64" s="194">
        <v>15.22071</v>
      </c>
      <c r="J64" s="194">
        <v>18.761800000000001</v>
      </c>
      <c r="K64" s="194">
        <v>20.17942</v>
      </c>
      <c r="L64" s="194">
        <v>19.57498</v>
      </c>
    </row>
    <row r="65" spans="5:15">
      <c r="E65" s="37" t="s">
        <v>473</v>
      </c>
      <c r="F65" s="108"/>
      <c r="G65" s="108"/>
      <c r="H65" s="194">
        <v>9.4615600000000004</v>
      </c>
      <c r="I65" s="194">
        <v>6.6806700000000001</v>
      </c>
      <c r="J65" s="194">
        <v>5.3043299999999993</v>
      </c>
      <c r="K65" s="194">
        <v>9.5476600000000005</v>
      </c>
      <c r="L65" s="194">
        <v>4.1904399999999997</v>
      </c>
    </row>
    <row r="66" spans="5:15">
      <c r="E66" s="37" t="s">
        <v>474</v>
      </c>
      <c r="F66" s="108"/>
      <c r="G66" s="108"/>
      <c r="H66" s="194">
        <v>13.9544</v>
      </c>
      <c r="I66" s="194">
        <v>15.00309</v>
      </c>
      <c r="J66" s="194">
        <v>14.55489</v>
      </c>
      <c r="K66" s="194">
        <v>13.026999999999999</v>
      </c>
      <c r="L66" s="194">
        <v>14.205000000000002</v>
      </c>
    </row>
    <row r="67" spans="5:15">
      <c r="E67" s="37" t="s">
        <v>475</v>
      </c>
      <c r="F67" s="108"/>
      <c r="G67" s="108"/>
      <c r="H67" s="194">
        <v>13.619710000000001</v>
      </c>
      <c r="I67" s="194">
        <v>10.525124999999999</v>
      </c>
      <c r="J67" s="194">
        <v>4.9896899999999995</v>
      </c>
      <c r="K67" s="194">
        <v>4.2243599999999999</v>
      </c>
      <c r="L67" s="194">
        <v>10.469009999999999</v>
      </c>
      <c r="O67" s="192"/>
    </row>
    <row r="68" spans="5:15">
      <c r="E68" s="37" t="s">
        <v>476</v>
      </c>
      <c r="F68" s="108"/>
      <c r="G68" s="108"/>
      <c r="H68" s="195">
        <v>9.1005699999999994</v>
      </c>
      <c r="I68" s="194">
        <v>15.550890000000001</v>
      </c>
      <c r="J68" s="194">
        <v>23.288460000000001</v>
      </c>
      <c r="K68" s="194">
        <v>31.336659999999998</v>
      </c>
      <c r="L68" s="194">
        <v>32.029519999999998</v>
      </c>
    </row>
    <row r="69" spans="5:15">
      <c r="E69" s="37" t="s">
        <v>477</v>
      </c>
      <c r="F69" s="108"/>
      <c r="G69" s="108"/>
      <c r="H69" s="194">
        <f>172.78306-SUM(H63:H68)</f>
        <v>90.476060000000004</v>
      </c>
      <c r="I69" s="194">
        <f>177.4875-SUM(I63:I68)</f>
        <v>114.46301500000001</v>
      </c>
      <c r="J69" s="194">
        <f>167.6750363-SUM(J63:J68)</f>
        <v>100.77586629999999</v>
      </c>
      <c r="K69" s="194">
        <f>226.8004409-SUM(K63:K68)</f>
        <v>139.30113090000003</v>
      </c>
      <c r="L69" s="194">
        <f>277.6445878-SUM(L63:L68)</f>
        <v>196.96388780000001</v>
      </c>
    </row>
    <row r="70" spans="5:15">
      <c r="E70" s="193" t="s">
        <v>478</v>
      </c>
      <c r="F70" s="196"/>
      <c r="G70" s="196"/>
      <c r="H70" s="197">
        <f>+SUM(H62:H69)</f>
        <v>2344.0209912</v>
      </c>
      <c r="I70" s="197">
        <f t="shared" ref="I70:L70" si="4">+SUM(I62:I69)</f>
        <v>2657.5303521000005</v>
      </c>
      <c r="J70" s="197">
        <f t="shared" si="4"/>
        <v>2803.9551422999994</v>
      </c>
      <c r="K70" s="197">
        <f t="shared" si="4"/>
        <v>1378.7381761999998</v>
      </c>
      <c r="L70" s="197">
        <f t="shared" si="4"/>
        <v>1496.5504372999999</v>
      </c>
    </row>
    <row r="71" spans="5:15">
      <c r="H71" s="192">
        <f>+H70-H40</f>
        <v>0</v>
      </c>
      <c r="I71" s="192">
        <f>+I70-I40</f>
        <v>0</v>
      </c>
      <c r="J71" s="192">
        <f>+J70-J40</f>
        <v>0</v>
      </c>
      <c r="K71" s="192">
        <f>+K70-K40</f>
        <v>0</v>
      </c>
      <c r="L71" s="192">
        <f>+L70-L40</f>
        <v>0</v>
      </c>
    </row>
    <row r="73" spans="5:15">
      <c r="E73" s="193" t="s">
        <v>479</v>
      </c>
      <c r="F73" s="196"/>
      <c r="G73" s="196"/>
      <c r="H73" s="198" t="s">
        <v>418</v>
      </c>
      <c r="I73" s="110" t="s">
        <v>419</v>
      </c>
      <c r="J73" s="110" t="s">
        <v>420</v>
      </c>
      <c r="K73" s="110" t="s">
        <v>421</v>
      </c>
      <c r="L73" s="30" t="s">
        <v>422</v>
      </c>
    </row>
    <row r="74" spans="5:15">
      <c r="E74" s="37" t="s">
        <v>480</v>
      </c>
      <c r="F74" s="108"/>
      <c r="G74" s="108"/>
      <c r="H74" s="194">
        <v>521.84848</v>
      </c>
      <c r="I74" s="194">
        <v>306.33949999999999</v>
      </c>
      <c r="J74" s="194">
        <v>355.18065999999999</v>
      </c>
      <c r="K74" s="194">
        <v>4.8102</v>
      </c>
      <c r="L74" s="194">
        <v>637.74680999999998</v>
      </c>
    </row>
    <row r="75" spans="5:15">
      <c r="E75" s="37" t="s">
        <v>481</v>
      </c>
      <c r="F75" s="108"/>
      <c r="G75" s="108"/>
      <c r="H75" s="194">
        <v>1319.6188</v>
      </c>
      <c r="I75" s="194">
        <v>1445.5193000000002</v>
      </c>
      <c r="J75" s="194">
        <v>1499.4993199999999</v>
      </c>
      <c r="K75" s="194">
        <v>1498.02817</v>
      </c>
      <c r="L75" s="194">
        <v>1602.552498</v>
      </c>
    </row>
    <row r="76" spans="5:15">
      <c r="E76" s="37" t="s">
        <v>482</v>
      </c>
      <c r="F76" s="108"/>
      <c r="G76" s="108"/>
      <c r="H76" s="194">
        <v>1337.1066599999999</v>
      </c>
      <c r="I76" s="194">
        <v>1637.8820199999998</v>
      </c>
      <c r="J76" s="194">
        <v>1699.3059800000001</v>
      </c>
      <c r="K76" s="194">
        <v>1650.1032599999999</v>
      </c>
      <c r="L76" s="194">
        <v>1705.8929072999999</v>
      </c>
    </row>
    <row r="77" spans="5:15">
      <c r="E77" s="193" t="s">
        <v>478</v>
      </c>
      <c r="F77" s="196"/>
      <c r="G77" s="196"/>
      <c r="H77" s="199">
        <f>+SUM(H74:H76)</f>
        <v>3178.5739399999998</v>
      </c>
      <c r="I77" s="199">
        <f>+SUM(I74:I76)</f>
        <v>3389.74082</v>
      </c>
      <c r="J77" s="199">
        <f>+SUM(J74:J76)</f>
        <v>3553.98596</v>
      </c>
      <c r="K77" s="199">
        <f>+SUM(K74:K76)</f>
        <v>3152.9416299999998</v>
      </c>
      <c r="L77" s="199">
        <f>+SUM(L74:L76)</f>
        <v>3946.1922153</v>
      </c>
    </row>
    <row r="78" spans="5:15">
      <c r="H78" s="192">
        <f>+H77-H33</f>
        <v>0</v>
      </c>
      <c r="I78" s="192">
        <f>+I77-I33</f>
        <v>0</v>
      </c>
      <c r="J78" s="192">
        <f>+J77-J33</f>
        <v>0</v>
      </c>
      <c r="K78" s="192">
        <f>+K77-K33</f>
        <v>0</v>
      </c>
      <c r="L78" s="192">
        <f>+L77-L33</f>
        <v>0</v>
      </c>
    </row>
    <row r="79" spans="5:15">
      <c r="E79" s="37" t="s">
        <v>483</v>
      </c>
      <c r="F79" s="108"/>
      <c r="G79" s="108"/>
      <c r="H79" s="194">
        <v>876.22946089999994</v>
      </c>
      <c r="I79" s="194">
        <v>892.65998580000007</v>
      </c>
      <c r="J79" s="194">
        <v>886.1377925999999</v>
      </c>
      <c r="K79" s="194">
        <v>972.67467390000002</v>
      </c>
      <c r="L79" s="194">
        <v>882.42833159999998</v>
      </c>
    </row>
    <row r="82" spans="5:12">
      <c r="E82" s="193"/>
      <c r="F82" s="196"/>
      <c r="G82" s="196"/>
      <c r="H82" s="198" t="s">
        <v>418</v>
      </c>
      <c r="I82" s="110" t="s">
        <v>419</v>
      </c>
      <c r="J82" s="110" t="s">
        <v>420</v>
      </c>
      <c r="K82" s="110" t="s">
        <v>421</v>
      </c>
      <c r="L82" s="30" t="s">
        <v>422</v>
      </c>
    </row>
    <row r="83" spans="5:12">
      <c r="E83" s="37" t="s">
        <v>484</v>
      </c>
      <c r="F83" s="108"/>
      <c r="G83" s="108"/>
      <c r="H83" s="194">
        <v>639.43252780000012</v>
      </c>
      <c r="I83" s="194">
        <v>1264.2912709</v>
      </c>
      <c r="J83" s="194">
        <v>871.5809185999999</v>
      </c>
      <c r="K83" s="194">
        <v>2121.9443905000003</v>
      </c>
      <c r="L83" s="194">
        <v>860.65800860000002</v>
      </c>
    </row>
  </sheetData>
  <mergeCells count="92">
    <mergeCell ref="B7:M7"/>
    <mergeCell ref="B2:M2"/>
    <mergeCell ref="B3:M3"/>
    <mergeCell ref="B4:M4"/>
    <mergeCell ref="B5:M5"/>
    <mergeCell ref="B6:M6"/>
    <mergeCell ref="C8:E8"/>
    <mergeCell ref="L8:M8"/>
    <mergeCell ref="C9:E9"/>
    <mergeCell ref="L9:M9"/>
    <mergeCell ref="C10:E10"/>
    <mergeCell ref="L10:M10"/>
    <mergeCell ref="C11:E11"/>
    <mergeCell ref="L11:M11"/>
    <mergeCell ref="C12:E12"/>
    <mergeCell ref="L12:M12"/>
    <mergeCell ref="C13:E13"/>
    <mergeCell ref="L13:M13"/>
    <mergeCell ref="C14:E14"/>
    <mergeCell ref="L14:M14"/>
    <mergeCell ref="C15:E15"/>
    <mergeCell ref="L15:M15"/>
    <mergeCell ref="C16:E16"/>
    <mergeCell ref="L16:M16"/>
    <mergeCell ref="C17:E17"/>
    <mergeCell ref="L17:M17"/>
    <mergeCell ref="C18:E18"/>
    <mergeCell ref="L18:M18"/>
    <mergeCell ref="C19:E19"/>
    <mergeCell ref="L19:M19"/>
    <mergeCell ref="C20:E20"/>
    <mergeCell ref="L20:M20"/>
    <mergeCell ref="C21:E21"/>
    <mergeCell ref="L21:M21"/>
    <mergeCell ref="C22:E22"/>
    <mergeCell ref="L22:M22"/>
    <mergeCell ref="C23:E23"/>
    <mergeCell ref="L23:M23"/>
    <mergeCell ref="C24:E24"/>
    <mergeCell ref="L24:M24"/>
    <mergeCell ref="C25:E25"/>
    <mergeCell ref="L25:M25"/>
    <mergeCell ref="C26:E26"/>
    <mergeCell ref="L26:M26"/>
    <mergeCell ref="C27:E27"/>
    <mergeCell ref="L27:M27"/>
    <mergeCell ref="C28:E28"/>
    <mergeCell ref="L28:M28"/>
    <mergeCell ref="C29:E29"/>
    <mergeCell ref="L29:M29"/>
    <mergeCell ref="C30:E30"/>
    <mergeCell ref="L30:M30"/>
    <mergeCell ref="C31:E31"/>
    <mergeCell ref="L31:M31"/>
    <mergeCell ref="C32:E32"/>
    <mergeCell ref="L32:M32"/>
    <mergeCell ref="C33:E33"/>
    <mergeCell ref="L33:M33"/>
    <mergeCell ref="C34:E34"/>
    <mergeCell ref="L34:M34"/>
    <mergeCell ref="C41:E41"/>
    <mergeCell ref="L41:M41"/>
    <mergeCell ref="C42:E42"/>
    <mergeCell ref="L42:M42"/>
    <mergeCell ref="C35:E35"/>
    <mergeCell ref="L35:M35"/>
    <mergeCell ref="C36:E36"/>
    <mergeCell ref="L36:M36"/>
    <mergeCell ref="C37:E37"/>
    <mergeCell ref="L37:M37"/>
    <mergeCell ref="C38:E38"/>
    <mergeCell ref="L38:M38"/>
    <mergeCell ref="C39:E39"/>
    <mergeCell ref="L39:M39"/>
    <mergeCell ref="C40:E40"/>
    <mergeCell ref="L40:M40"/>
    <mergeCell ref="C43:E43"/>
    <mergeCell ref="L43:M43"/>
    <mergeCell ref="B54:L54"/>
    <mergeCell ref="B47:L47"/>
    <mergeCell ref="B48:L48"/>
    <mergeCell ref="B49:L49"/>
    <mergeCell ref="B50:L50"/>
    <mergeCell ref="B51:L51"/>
    <mergeCell ref="B52:L52"/>
    <mergeCell ref="B53:L53"/>
    <mergeCell ref="B46:L46"/>
    <mergeCell ref="C44:E44"/>
    <mergeCell ref="L44:M44"/>
    <mergeCell ref="C45:D45"/>
    <mergeCell ref="E45:I45"/>
    <mergeCell ref="K45:M45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/>
  <dimension ref="A5:H41"/>
  <sheetViews>
    <sheetView topLeftCell="B1" workbookViewId="0">
      <selection activeCell="O14" sqref="O14"/>
    </sheetView>
  </sheetViews>
  <sheetFormatPr defaultRowHeight="12.75"/>
  <cols>
    <col min="1" max="1" width="16.5" style="203" hidden="1" customWidth="1"/>
    <col min="2" max="2" width="29.6640625" style="203" customWidth="1"/>
    <col min="3" max="3" width="11.1640625" style="203" customWidth="1"/>
    <col min="4" max="4" width="12.5" style="203" customWidth="1"/>
    <col min="5" max="5" width="10.5" style="203" bestFit="1" customWidth="1"/>
    <col min="6" max="6" width="12.6640625" style="203" customWidth="1"/>
    <col min="7" max="7" width="10.5" style="203" bestFit="1" customWidth="1"/>
    <col min="8" max="16384" width="9.33203125" style="203"/>
  </cols>
  <sheetData>
    <row r="5" spans="1:7">
      <c r="B5" s="366" t="s">
        <v>510</v>
      </c>
      <c r="C5" s="366"/>
      <c r="D5" s="366"/>
      <c r="E5" s="366"/>
      <c r="F5" s="366"/>
      <c r="G5" s="366"/>
    </row>
    <row r="6" spans="1:7" ht="15">
      <c r="A6" s="201" t="s">
        <v>447</v>
      </c>
      <c r="B6" s="213"/>
      <c r="C6" s="213"/>
      <c r="D6" s="214" t="s">
        <v>496</v>
      </c>
      <c r="E6" s="215"/>
      <c r="F6" s="215"/>
      <c r="G6" s="215"/>
    </row>
    <row r="7" spans="1:7" ht="15.75" thickBot="1">
      <c r="A7" s="209" t="s">
        <v>497</v>
      </c>
      <c r="B7" s="216" t="s">
        <v>509</v>
      </c>
      <c r="C7" s="217" t="s">
        <v>342</v>
      </c>
      <c r="D7" s="213" t="s">
        <v>343</v>
      </c>
      <c r="E7" s="215" t="s">
        <v>344</v>
      </c>
      <c r="F7" s="215" t="s">
        <v>36</v>
      </c>
      <c r="G7" s="215" t="s">
        <v>37</v>
      </c>
    </row>
    <row r="8" spans="1:7" s="205" customFormat="1" ht="15.75" thickTop="1">
      <c r="A8" s="210">
        <v>4326</v>
      </c>
      <c r="B8" s="218" t="s">
        <v>498</v>
      </c>
      <c r="C8" s="218">
        <v>29.610199999999999</v>
      </c>
      <c r="D8" s="219">
        <v>23.915939999999999</v>
      </c>
      <c r="E8" s="220">
        <v>23.756689999999999</v>
      </c>
      <c r="F8" s="220">
        <f>+VLOOKUP(A8,$G$32:$H$40,2,0)</f>
        <v>42.1096</v>
      </c>
      <c r="G8" s="220">
        <v>141.92412999999999</v>
      </c>
    </row>
    <row r="9" spans="1:7" s="205" customFormat="1" ht="15">
      <c r="A9" s="207">
        <v>4325</v>
      </c>
      <c r="B9" s="221" t="s">
        <v>499</v>
      </c>
      <c r="C9" s="221">
        <v>5.6910800000000004</v>
      </c>
      <c r="D9" s="219">
        <v>5.6750499999999997</v>
      </c>
      <c r="E9" s="220">
        <v>4.6066900000000004</v>
      </c>
      <c r="F9" s="220">
        <f t="shared" ref="F9:F18" si="0">+VLOOKUP(A9,$G$32:$H$40,2,0)</f>
        <v>5.6277200000000001</v>
      </c>
      <c r="G9" s="220">
        <v>5.6515399999999998</v>
      </c>
    </row>
    <row r="10" spans="1:7" s="205" customFormat="1" ht="15">
      <c r="A10" s="210">
        <v>4313</v>
      </c>
      <c r="B10" s="218" t="s">
        <v>500</v>
      </c>
      <c r="C10" s="218">
        <v>3.5999999999999997E-2</v>
      </c>
      <c r="D10" s="219">
        <v>0</v>
      </c>
      <c r="E10" s="220">
        <v>0</v>
      </c>
      <c r="F10" s="220">
        <f t="shared" si="0"/>
        <v>0</v>
      </c>
      <c r="G10" s="220">
        <v>0</v>
      </c>
    </row>
    <row r="11" spans="1:7" s="205" customFormat="1" ht="15">
      <c r="A11" s="207">
        <v>4314</v>
      </c>
      <c r="B11" s="221" t="s">
        <v>501</v>
      </c>
      <c r="C11" s="221">
        <v>11.399743200000001</v>
      </c>
      <c r="D11" s="219">
        <v>6.9145481999999996</v>
      </c>
      <c r="E11" s="220">
        <v>17.7509078</v>
      </c>
      <c r="F11" s="220">
        <f t="shared" si="0"/>
        <v>2.8545395</v>
      </c>
      <c r="G11" s="220">
        <v>2.519428</v>
      </c>
    </row>
    <row r="12" spans="1:7" s="205" customFormat="1" ht="15">
      <c r="A12" s="210">
        <v>4308</v>
      </c>
      <c r="B12" s="218" t="s">
        <v>502</v>
      </c>
      <c r="C12" s="218">
        <v>1.4999999999999999E-2</v>
      </c>
      <c r="D12" s="219">
        <v>3.9699200000000001</v>
      </c>
      <c r="E12" s="220">
        <v>6.4500000000000002E-2</v>
      </c>
      <c r="F12" s="220">
        <f t="shared" si="0"/>
        <v>0.23</v>
      </c>
      <c r="G12" s="220">
        <v>7.4999999999999997E-2</v>
      </c>
    </row>
    <row r="13" spans="1:7" s="205" customFormat="1" ht="15">
      <c r="A13" s="211">
        <v>5115</v>
      </c>
      <c r="B13" s="221" t="s">
        <v>503</v>
      </c>
      <c r="C13" s="221">
        <v>7.3499999999999998E-3</v>
      </c>
      <c r="D13" s="219">
        <v>7.3499999999999998E-3</v>
      </c>
      <c r="E13" s="220"/>
      <c r="F13" s="220"/>
      <c r="G13" s="220"/>
    </row>
    <row r="14" spans="1:7" s="205" customFormat="1" ht="15">
      <c r="A14" s="210">
        <v>4322</v>
      </c>
      <c r="B14" s="218" t="s">
        <v>504</v>
      </c>
      <c r="C14" s="218">
        <v>-2.6499999999999999E-2</v>
      </c>
      <c r="D14" s="219">
        <v>-2.5000000000000001E-2</v>
      </c>
      <c r="E14" s="220">
        <v>-1.4999999999999999E-2</v>
      </c>
      <c r="F14" s="220">
        <f t="shared" si="0"/>
        <v>-4.4499999999999998E-2</v>
      </c>
      <c r="G14" s="220">
        <v>-4.2499999999999996E-2</v>
      </c>
    </row>
    <row r="15" spans="1:7" s="205" customFormat="1" ht="15">
      <c r="A15" s="207">
        <v>4302</v>
      </c>
      <c r="B15" s="221" t="s">
        <v>505</v>
      </c>
      <c r="C15" s="221">
        <v>474.67679799999996</v>
      </c>
      <c r="D15" s="219">
        <v>435.34721000000002</v>
      </c>
      <c r="E15" s="220">
        <v>421.92435999999998</v>
      </c>
      <c r="F15" s="220">
        <f t="shared" si="0"/>
        <v>481.85887000000002</v>
      </c>
      <c r="G15" s="220">
        <v>465.14505000000003</v>
      </c>
    </row>
    <row r="16" spans="1:7" s="205" customFormat="1" ht="15">
      <c r="A16" s="206">
        <v>4315</v>
      </c>
      <c r="B16" s="218" t="s">
        <v>506</v>
      </c>
      <c r="C16" s="218">
        <v>2.1044</v>
      </c>
      <c r="D16" s="219"/>
      <c r="E16" s="220"/>
      <c r="F16" s="220"/>
      <c r="G16" s="220"/>
    </row>
    <row r="17" spans="1:8" s="205" customFormat="1" ht="15">
      <c r="A17" s="207">
        <v>4311</v>
      </c>
      <c r="B17" s="221" t="s">
        <v>506</v>
      </c>
      <c r="C17" s="221">
        <v>0.4885815</v>
      </c>
      <c r="D17" s="219">
        <v>0.3413775</v>
      </c>
      <c r="E17" s="220"/>
      <c r="F17" s="220"/>
      <c r="G17" s="220"/>
    </row>
    <row r="18" spans="1:8" s="205" customFormat="1" ht="15">
      <c r="A18" s="212">
        <v>4303</v>
      </c>
      <c r="B18" s="218" t="s">
        <v>506</v>
      </c>
      <c r="C18" s="218">
        <v>0.59445999999999999</v>
      </c>
      <c r="D18" s="219">
        <v>0.15775</v>
      </c>
      <c r="E18" s="220">
        <v>0.29272999999999999</v>
      </c>
      <c r="F18" s="220">
        <f t="shared" si="0"/>
        <v>0.32394000000000001</v>
      </c>
      <c r="G18" s="220">
        <v>1.2829600000000001</v>
      </c>
    </row>
    <row r="19" spans="1:8" s="205" customFormat="1" ht="15">
      <c r="A19" s="206">
        <v>8962</v>
      </c>
      <c r="B19" s="218" t="s">
        <v>507</v>
      </c>
      <c r="C19" s="218">
        <v>6.3699365000000006</v>
      </c>
      <c r="D19" s="219">
        <v>2.7470743</v>
      </c>
      <c r="E19" s="220">
        <v>3.8716396000000004</v>
      </c>
      <c r="F19" s="220">
        <v>11.466813</v>
      </c>
      <c r="G19" s="220">
        <v>12.928879800000001</v>
      </c>
    </row>
    <row r="20" spans="1:8" s="205" customFormat="1" ht="15">
      <c r="A20" s="207">
        <v>8961</v>
      </c>
      <c r="B20" s="221" t="s">
        <v>507</v>
      </c>
      <c r="C20" s="221">
        <v>153.47311999999999</v>
      </c>
      <c r="D20" s="219">
        <v>158.33812</v>
      </c>
      <c r="E20" s="220">
        <v>154.1552964</v>
      </c>
      <c r="F20" s="220">
        <v>170.35650999999999</v>
      </c>
      <c r="G20" s="220">
        <v>176.16487499999999</v>
      </c>
    </row>
    <row r="21" spans="1:8" s="205" customFormat="1" ht="15">
      <c r="A21" s="208">
        <v>8960</v>
      </c>
      <c r="B21" s="218" t="s">
        <v>507</v>
      </c>
      <c r="C21" s="218">
        <v>716.38640439999995</v>
      </c>
      <c r="D21" s="219">
        <v>731.57479150000006</v>
      </c>
      <c r="E21" s="220">
        <v>728.11085659999992</v>
      </c>
      <c r="F21" s="220">
        <v>790.85135090000006</v>
      </c>
      <c r="G21" s="220">
        <v>693.33457680000004</v>
      </c>
    </row>
    <row r="22" spans="1:8" s="205" customFormat="1" ht="15">
      <c r="A22" s="204"/>
      <c r="B22" s="219"/>
      <c r="C22" s="219">
        <f>+SUM(C8:C21)</f>
        <v>1400.8265735999998</v>
      </c>
      <c r="D22" s="219">
        <f>+SUM(D8:D21)</f>
        <v>1368.9641315000001</v>
      </c>
      <c r="E22" s="219">
        <f>+SUM(E8:E21)</f>
        <v>1354.5186703999998</v>
      </c>
      <c r="F22" s="219">
        <f>+SUM(F8:F21)</f>
        <v>1505.6348434000001</v>
      </c>
      <c r="G22" s="219">
        <f>+SUM(G8:G21)</f>
        <v>1498.9839396000002</v>
      </c>
    </row>
    <row r="23" spans="1:8" s="205" customFormat="1">
      <c r="C23" s="205">
        <v>1400.8265735999998</v>
      </c>
      <c r="D23" s="205">
        <v>1368.9641315000001</v>
      </c>
      <c r="E23" s="205">
        <v>1354.5226103999998</v>
      </c>
      <c r="F23" s="205">
        <v>1505.6348434000001</v>
      </c>
      <c r="G23" s="205">
        <v>1498.9839396</v>
      </c>
    </row>
    <row r="24" spans="1:8" s="205" customFormat="1">
      <c r="C24" s="205">
        <f>+C22-C23</f>
        <v>0</v>
      </c>
      <c r="D24" s="205">
        <f t="shared" ref="D24:G24" si="1">+D22-D23</f>
        <v>0</v>
      </c>
      <c r="E24" s="205">
        <f t="shared" si="1"/>
        <v>-3.940000000056898E-3</v>
      </c>
      <c r="F24" s="205">
        <f t="shared" si="1"/>
        <v>0</v>
      </c>
      <c r="G24" s="205">
        <f t="shared" si="1"/>
        <v>0</v>
      </c>
    </row>
    <row r="25" spans="1:8" s="205" customFormat="1"/>
    <row r="26" spans="1:8" s="205" customFormat="1"/>
    <row r="27" spans="1:8" s="205" customFormat="1"/>
    <row r="28" spans="1:8" s="205" customFormat="1"/>
    <row r="29" spans="1:8" s="205" customFormat="1"/>
    <row r="30" spans="1:8" s="205" customFormat="1"/>
    <row r="31" spans="1:8" s="205" customFormat="1">
      <c r="B31" s="205" t="s">
        <v>497</v>
      </c>
      <c r="C31" s="205" t="s">
        <v>508</v>
      </c>
    </row>
    <row r="32" spans="1:8" s="205" customFormat="1" ht="15">
      <c r="B32" s="205">
        <v>4326</v>
      </c>
      <c r="C32" s="205">
        <v>23.756689999999999</v>
      </c>
      <c r="G32" s="202" t="s">
        <v>497</v>
      </c>
      <c r="H32" s="202" t="s">
        <v>508</v>
      </c>
    </row>
    <row r="33" spans="2:8" s="205" customFormat="1" ht="15">
      <c r="B33" s="205">
        <v>4325</v>
      </c>
      <c r="C33" s="205">
        <v>4.6066900000000004</v>
      </c>
      <c r="G33" s="202">
        <v>4302</v>
      </c>
      <c r="H33" s="202">
        <v>481.85887000000002</v>
      </c>
    </row>
    <row r="34" spans="2:8" s="205" customFormat="1" ht="15">
      <c r="B34" s="205">
        <v>4313</v>
      </c>
      <c r="C34" s="205">
        <v>0</v>
      </c>
      <c r="G34" s="202">
        <v>4303</v>
      </c>
      <c r="H34" s="202">
        <v>0.32394000000000001</v>
      </c>
    </row>
    <row r="35" spans="2:8" ht="15">
      <c r="B35" s="203">
        <v>4314</v>
      </c>
      <c r="C35" s="203">
        <v>17.7509078</v>
      </c>
      <c r="G35" s="202">
        <v>4308</v>
      </c>
      <c r="H35" s="202">
        <v>0.23</v>
      </c>
    </row>
    <row r="36" spans="2:8" ht="15">
      <c r="B36" s="203">
        <v>4332</v>
      </c>
      <c r="C36" s="203">
        <v>3.9399999999999999E-3</v>
      </c>
      <c r="G36" s="202">
        <v>4313</v>
      </c>
      <c r="H36" s="202">
        <v>0</v>
      </c>
    </row>
    <row r="37" spans="2:8" ht="15">
      <c r="B37" s="203">
        <v>4308</v>
      </c>
      <c r="C37" s="203">
        <v>6.4500000000000002E-2</v>
      </c>
      <c r="G37" s="202">
        <v>4314</v>
      </c>
      <c r="H37" s="202">
        <v>2.8545395</v>
      </c>
    </row>
    <row r="38" spans="2:8" ht="15">
      <c r="B38" s="203">
        <v>4322</v>
      </c>
      <c r="C38" s="203">
        <v>-1.4999999999999999E-2</v>
      </c>
      <c r="G38" s="202">
        <v>4322</v>
      </c>
      <c r="H38" s="202">
        <v>-4.4499999999999998E-2</v>
      </c>
    </row>
    <row r="39" spans="2:8" ht="15">
      <c r="B39" s="203">
        <v>4302</v>
      </c>
      <c r="C39" s="203">
        <v>421.92435999999998</v>
      </c>
      <c r="G39" s="202">
        <v>4325</v>
      </c>
      <c r="H39" s="202">
        <v>5.6277200000000001</v>
      </c>
    </row>
    <row r="40" spans="2:8" ht="15">
      <c r="B40" s="203">
        <v>4310</v>
      </c>
      <c r="C40" s="203">
        <v>0</v>
      </c>
      <c r="G40" s="202">
        <v>4326</v>
      </c>
      <c r="H40" s="202">
        <v>42.1096</v>
      </c>
    </row>
    <row r="41" spans="2:8">
      <c r="B41" s="203">
        <v>4303</v>
      </c>
      <c r="C41" s="203">
        <v>0.29272999999999999</v>
      </c>
    </row>
  </sheetData>
  <mergeCells count="1">
    <mergeCell ref="B5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I22"/>
  <sheetViews>
    <sheetView topLeftCell="A4" workbookViewId="0">
      <selection activeCell="E34" sqref="E34"/>
    </sheetView>
  </sheetViews>
  <sheetFormatPr defaultColWidth="8.83203125" defaultRowHeight="15.75"/>
  <cols>
    <col min="1" max="3" width="6.5" style="139" customWidth="1"/>
    <col min="4" max="4" width="34.6640625" style="139" customWidth="1"/>
    <col min="5" max="5" width="17.6640625" style="139" customWidth="1"/>
    <col min="6" max="6" width="16.5" style="139" customWidth="1"/>
    <col min="7" max="7" width="16.83203125" style="139" customWidth="1"/>
    <col min="8" max="8" width="14.1640625" style="139" customWidth="1"/>
    <col min="9" max="9" width="14.5" style="139" customWidth="1"/>
    <col min="10" max="16384" width="8.83203125" style="139"/>
  </cols>
  <sheetData>
    <row r="1" spans="1:9" ht="18" customHeight="1">
      <c r="A1" s="368"/>
      <c r="B1" s="369"/>
      <c r="C1" s="370" t="s">
        <v>348</v>
      </c>
      <c r="D1" s="371"/>
      <c r="E1" s="371"/>
      <c r="F1" s="371"/>
      <c r="G1" s="371"/>
      <c r="H1" s="371"/>
      <c r="I1" s="371"/>
    </row>
    <row r="2" spans="1:9" ht="21.6" customHeight="1">
      <c r="A2" s="372"/>
      <c r="B2" s="372"/>
      <c r="C2" s="372" t="s">
        <v>349</v>
      </c>
      <c r="D2" s="372"/>
      <c r="E2" s="372"/>
      <c r="F2" s="372"/>
      <c r="G2" s="372"/>
      <c r="H2" s="372"/>
      <c r="I2" s="372"/>
    </row>
    <row r="3" spans="1:9" ht="23.1" customHeight="1">
      <c r="A3" s="162"/>
      <c r="B3" s="372"/>
      <c r="C3" s="372"/>
      <c r="D3" s="372" t="s">
        <v>350</v>
      </c>
      <c r="E3" s="372"/>
      <c r="F3" s="372"/>
      <c r="G3" s="372"/>
      <c r="H3" s="372"/>
      <c r="I3" s="372"/>
    </row>
    <row r="4" spans="1:9" ht="18" customHeight="1">
      <c r="A4" s="162"/>
      <c r="B4" s="373" t="s">
        <v>351</v>
      </c>
      <c r="C4" s="372"/>
      <c r="D4" s="372"/>
      <c r="E4" s="372"/>
      <c r="F4" s="372"/>
      <c r="G4" s="372"/>
      <c r="H4" s="372"/>
      <c r="I4" s="372"/>
    </row>
    <row r="5" spans="1:9" ht="19.899999999999999" customHeight="1">
      <c r="A5" s="162"/>
      <c r="B5" s="373" t="s">
        <v>352</v>
      </c>
      <c r="C5" s="372"/>
      <c r="D5" s="372"/>
      <c r="E5" s="372"/>
      <c r="F5" s="372"/>
      <c r="G5" s="372"/>
      <c r="H5" s="372"/>
      <c r="I5" s="372"/>
    </row>
    <row r="6" spans="1:9" ht="21.6" customHeight="1">
      <c r="A6" s="162"/>
      <c r="B6" s="374"/>
      <c r="C6" s="374"/>
      <c r="D6" s="374"/>
      <c r="E6" s="374"/>
      <c r="F6" s="374"/>
      <c r="G6" s="374"/>
      <c r="H6" s="372" t="s">
        <v>353</v>
      </c>
      <c r="I6" s="372"/>
    </row>
    <row r="7" spans="1:9" ht="20.45" customHeight="1">
      <c r="A7" s="162" t="s">
        <v>354</v>
      </c>
      <c r="B7" s="372" t="s">
        <v>355</v>
      </c>
      <c r="C7" s="372"/>
      <c r="D7" s="372"/>
      <c r="E7" s="162" t="s">
        <v>356</v>
      </c>
      <c r="F7" s="162" t="s">
        <v>357</v>
      </c>
      <c r="G7" s="162" t="s">
        <v>358</v>
      </c>
      <c r="H7" s="162" t="s">
        <v>359</v>
      </c>
      <c r="I7" s="162" t="s">
        <v>360</v>
      </c>
    </row>
    <row r="8" spans="1:9" ht="21" customHeight="1">
      <c r="A8" s="163">
        <v>1</v>
      </c>
      <c r="B8" s="367">
        <v>2</v>
      </c>
      <c r="C8" s="367"/>
      <c r="D8" s="367"/>
      <c r="E8" s="163">
        <v>3</v>
      </c>
      <c r="F8" s="163">
        <v>4</v>
      </c>
      <c r="G8" s="163">
        <v>5</v>
      </c>
      <c r="H8" s="163">
        <v>6</v>
      </c>
      <c r="I8" s="163">
        <v>7</v>
      </c>
    </row>
    <row r="9" spans="1:9" ht="24.95" customHeight="1">
      <c r="A9" s="162" t="s">
        <v>361</v>
      </c>
      <c r="B9" s="376" t="s">
        <v>362</v>
      </c>
      <c r="C9" s="376"/>
      <c r="D9" s="376"/>
      <c r="E9" s="162"/>
      <c r="F9" s="162"/>
      <c r="G9" s="162"/>
      <c r="H9" s="162"/>
      <c r="I9" s="162"/>
    </row>
    <row r="10" spans="1:9" ht="24.95" customHeight="1">
      <c r="A10" s="164">
        <v>1</v>
      </c>
      <c r="B10" s="376" t="s">
        <v>363</v>
      </c>
      <c r="C10" s="376"/>
      <c r="D10" s="376"/>
      <c r="E10" s="377" t="s">
        <v>364</v>
      </c>
      <c r="F10" s="378"/>
      <c r="G10" s="378"/>
      <c r="H10" s="378"/>
      <c r="I10" s="379"/>
    </row>
    <row r="11" spans="1:9" ht="24.95" customHeight="1">
      <c r="A11" s="164">
        <v>2</v>
      </c>
      <c r="B11" s="376" t="s">
        <v>365</v>
      </c>
      <c r="C11" s="376"/>
      <c r="D11" s="376"/>
      <c r="E11" s="380" t="s">
        <v>366</v>
      </c>
      <c r="F11" s="380"/>
      <c r="G11" s="380"/>
      <c r="H11" s="380"/>
      <c r="I11" s="380"/>
    </row>
    <row r="12" spans="1:9" ht="24.95" customHeight="1">
      <c r="A12" s="164">
        <v>3</v>
      </c>
      <c r="B12" s="376" t="s">
        <v>367</v>
      </c>
      <c r="C12" s="376"/>
      <c r="D12" s="376"/>
      <c r="E12" s="380" t="s">
        <v>368</v>
      </c>
      <c r="F12" s="380"/>
      <c r="G12" s="380"/>
      <c r="H12" s="380"/>
      <c r="I12" s="380"/>
    </row>
    <row r="13" spans="1:9" ht="36.6" customHeight="1">
      <c r="A13" s="165">
        <v>4</v>
      </c>
      <c r="B13" s="375" t="s">
        <v>369</v>
      </c>
      <c r="C13" s="376"/>
      <c r="D13" s="376"/>
      <c r="E13" s="381" t="s">
        <v>370</v>
      </c>
      <c r="F13" s="382"/>
      <c r="G13" s="382"/>
      <c r="H13" s="382"/>
      <c r="I13" s="383"/>
    </row>
    <row r="14" spans="1:9" ht="24.95" customHeight="1">
      <c r="A14" s="162" t="s">
        <v>371</v>
      </c>
      <c r="B14" s="376" t="s">
        <v>372</v>
      </c>
      <c r="C14" s="376"/>
      <c r="D14" s="376"/>
      <c r="E14" s="166"/>
      <c r="F14" s="166"/>
      <c r="G14" s="166"/>
      <c r="H14" s="166"/>
      <c r="I14" s="166"/>
    </row>
    <row r="15" spans="1:9" ht="24.95" customHeight="1">
      <c r="A15" s="165">
        <v>5</v>
      </c>
      <c r="B15" s="376" t="s">
        <v>373</v>
      </c>
      <c r="C15" s="376"/>
      <c r="D15" s="376"/>
      <c r="E15" s="166" t="s">
        <v>9</v>
      </c>
      <c r="F15" s="166" t="s">
        <v>9</v>
      </c>
      <c r="G15" s="166" t="s">
        <v>8</v>
      </c>
      <c r="H15" s="166" t="s">
        <v>8</v>
      </c>
      <c r="I15" s="166" t="s">
        <v>8</v>
      </c>
    </row>
    <row r="16" spans="1:9" ht="24.95" customHeight="1">
      <c r="A16" s="165">
        <v>6</v>
      </c>
      <c r="B16" s="376" t="s">
        <v>374</v>
      </c>
      <c r="C16" s="376"/>
      <c r="D16" s="376"/>
      <c r="E16" s="166" t="s">
        <v>9</v>
      </c>
      <c r="F16" s="166" t="s">
        <v>9</v>
      </c>
      <c r="G16" s="166" t="s">
        <v>8</v>
      </c>
      <c r="H16" s="166" t="s">
        <v>8</v>
      </c>
      <c r="I16" s="166" t="s">
        <v>8</v>
      </c>
    </row>
    <row r="17" spans="1:9" ht="24.95" customHeight="1">
      <c r="A17" s="165">
        <v>7</v>
      </c>
      <c r="B17" s="375" t="s">
        <v>375</v>
      </c>
      <c r="C17" s="376"/>
      <c r="D17" s="376"/>
      <c r="E17" s="167">
        <v>27397585.285999998</v>
      </c>
      <c r="F17" s="167" t="s">
        <v>376</v>
      </c>
      <c r="G17" s="167" t="s">
        <v>377</v>
      </c>
      <c r="H17" s="167" t="s">
        <v>378</v>
      </c>
      <c r="I17" s="167" t="s">
        <v>379</v>
      </c>
    </row>
    <row r="18" spans="1:9" ht="24.95" customHeight="1">
      <c r="A18" s="164" t="s">
        <v>380</v>
      </c>
      <c r="B18" s="384" t="s">
        <v>381</v>
      </c>
      <c r="C18" s="385"/>
      <c r="D18" s="386"/>
      <c r="E18" s="167">
        <v>21118280.300999999</v>
      </c>
      <c r="F18" s="167">
        <v>21118280.300999999</v>
      </c>
      <c r="G18" s="167">
        <v>21118280.300999999</v>
      </c>
      <c r="H18" s="167">
        <v>21118280.300999999</v>
      </c>
      <c r="I18" s="167">
        <v>21118280.300999999</v>
      </c>
    </row>
    <row r="19" spans="1:9" ht="63" customHeight="1">
      <c r="A19" s="168">
        <v>8</v>
      </c>
      <c r="B19" s="376" t="s">
        <v>382</v>
      </c>
      <c r="C19" s="376"/>
      <c r="D19" s="376"/>
      <c r="E19" s="169">
        <v>80.248999999999995</v>
      </c>
      <c r="F19" s="169">
        <v>78.897999999999996</v>
      </c>
      <c r="G19" s="169">
        <v>111.289</v>
      </c>
      <c r="H19" s="169">
        <v>113.327</v>
      </c>
      <c r="I19" s="169">
        <v>111.818</v>
      </c>
    </row>
    <row r="20" spans="1:9" ht="53.45" customHeight="1">
      <c r="A20" s="165">
        <v>9</v>
      </c>
      <c r="B20" s="376" t="s">
        <v>383</v>
      </c>
      <c r="C20" s="376"/>
      <c r="D20" s="376"/>
      <c r="E20" s="169">
        <v>26.398</v>
      </c>
      <c r="F20" s="169">
        <v>25.966000000000001</v>
      </c>
      <c r="G20" s="169">
        <v>25.835999999999999</v>
      </c>
      <c r="H20" s="169">
        <v>24.672999999999998</v>
      </c>
      <c r="I20" s="169">
        <v>25.821000000000002</v>
      </c>
    </row>
    <row r="21" spans="1:9" ht="39.6" customHeight="1">
      <c r="A21" s="162">
        <v>10</v>
      </c>
      <c r="B21" s="376" t="s">
        <v>384</v>
      </c>
      <c r="C21" s="376"/>
      <c r="D21" s="376"/>
      <c r="E21" s="169">
        <f>+E19+E20</f>
        <v>106.64699999999999</v>
      </c>
      <c r="F21" s="169">
        <f t="shared" ref="F21:I21" si="0">+F19+F20</f>
        <v>104.864</v>
      </c>
      <c r="G21" s="169">
        <f t="shared" si="0"/>
        <v>137.125</v>
      </c>
      <c r="H21" s="169">
        <f t="shared" si="0"/>
        <v>138</v>
      </c>
      <c r="I21" s="169">
        <f t="shared" si="0"/>
        <v>137.63900000000001</v>
      </c>
    </row>
    <row r="22" spans="1:9" ht="31.15" customHeight="1">
      <c r="A22" s="372" t="s">
        <v>385</v>
      </c>
      <c r="B22" s="372"/>
      <c r="C22" s="372" t="s">
        <v>386</v>
      </c>
      <c r="D22" s="372"/>
      <c r="E22" s="372"/>
      <c r="F22" s="372"/>
      <c r="G22" s="372"/>
      <c r="H22" s="372"/>
      <c r="I22" s="372"/>
    </row>
  </sheetData>
  <mergeCells count="31">
    <mergeCell ref="B18:D18"/>
    <mergeCell ref="B19:D19"/>
    <mergeCell ref="B20:D20"/>
    <mergeCell ref="B21:D21"/>
    <mergeCell ref="A22:B22"/>
    <mergeCell ref="C22:I22"/>
    <mergeCell ref="B17:D17"/>
    <mergeCell ref="B9:D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B15:D15"/>
    <mergeCell ref="B16:D16"/>
    <mergeCell ref="B8:D8"/>
    <mergeCell ref="A1:B1"/>
    <mergeCell ref="C1:I1"/>
    <mergeCell ref="A2:B2"/>
    <mergeCell ref="C2:I2"/>
    <mergeCell ref="B3:C3"/>
    <mergeCell ref="D3:I3"/>
    <mergeCell ref="B4:I4"/>
    <mergeCell ref="B5:I5"/>
    <mergeCell ref="B6:G6"/>
    <mergeCell ref="H6:I6"/>
    <mergeCell ref="B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22"/>
  <sheetViews>
    <sheetView topLeftCell="A13" workbookViewId="0">
      <selection sqref="A1:I21"/>
    </sheetView>
  </sheetViews>
  <sheetFormatPr defaultColWidth="8.83203125" defaultRowHeight="15.75"/>
  <cols>
    <col min="1" max="3" width="6.5" style="139" customWidth="1"/>
    <col min="4" max="4" width="34.6640625" style="139" customWidth="1"/>
    <col min="5" max="5" width="15.33203125" style="139" bestFit="1" customWidth="1"/>
    <col min="6" max="9" width="14.6640625" style="139" bestFit="1" customWidth="1"/>
    <col min="10" max="16384" width="8.83203125" style="139"/>
  </cols>
  <sheetData>
    <row r="1" spans="1:9" ht="18" customHeight="1">
      <c r="A1" s="368"/>
      <c r="B1" s="369"/>
      <c r="C1" s="370" t="s">
        <v>348</v>
      </c>
      <c r="D1" s="371"/>
      <c r="E1" s="371"/>
      <c r="F1" s="371"/>
      <c r="G1" s="371"/>
      <c r="H1" s="371"/>
      <c r="I1" s="371"/>
    </row>
    <row r="2" spans="1:9" ht="21.6" customHeight="1">
      <c r="A2" s="372"/>
      <c r="B2" s="372"/>
      <c r="C2" s="372" t="s">
        <v>349</v>
      </c>
      <c r="D2" s="372"/>
      <c r="E2" s="372"/>
      <c r="F2" s="372"/>
      <c r="G2" s="372"/>
      <c r="H2" s="372"/>
      <c r="I2" s="372"/>
    </row>
    <row r="3" spans="1:9" ht="23.1" customHeight="1">
      <c r="A3" s="162"/>
      <c r="B3" s="372"/>
      <c r="C3" s="372"/>
      <c r="D3" s="372" t="s">
        <v>350</v>
      </c>
      <c r="E3" s="372"/>
      <c r="F3" s="372"/>
      <c r="G3" s="372"/>
      <c r="H3" s="372"/>
      <c r="I3" s="372"/>
    </row>
    <row r="4" spans="1:9" ht="18" customHeight="1">
      <c r="A4" s="162"/>
      <c r="B4" s="373" t="s">
        <v>351</v>
      </c>
      <c r="C4" s="372"/>
      <c r="D4" s="372"/>
      <c r="E4" s="372"/>
      <c r="F4" s="372"/>
      <c r="G4" s="372"/>
      <c r="H4" s="372"/>
      <c r="I4" s="372"/>
    </row>
    <row r="5" spans="1:9" ht="19.899999999999999" customHeight="1">
      <c r="A5" s="162"/>
      <c r="B5" s="373" t="s">
        <v>485</v>
      </c>
      <c r="C5" s="372"/>
      <c r="D5" s="372"/>
      <c r="E5" s="372"/>
      <c r="F5" s="372"/>
      <c r="G5" s="372"/>
      <c r="H5" s="372"/>
      <c r="I5" s="372"/>
    </row>
    <row r="6" spans="1:9" ht="21.6" customHeight="1">
      <c r="A6" s="162"/>
      <c r="B6" s="374"/>
      <c r="C6" s="374"/>
      <c r="D6" s="374"/>
      <c r="E6" s="374"/>
      <c r="F6" s="374"/>
      <c r="G6" s="374"/>
      <c r="H6" s="372" t="s">
        <v>353</v>
      </c>
      <c r="I6" s="372"/>
    </row>
    <row r="7" spans="1:9" ht="20.45" customHeight="1">
      <c r="A7" s="162" t="s">
        <v>354</v>
      </c>
      <c r="B7" s="372" t="s">
        <v>355</v>
      </c>
      <c r="C7" s="372"/>
      <c r="D7" s="372"/>
      <c r="E7" s="162" t="s">
        <v>356</v>
      </c>
      <c r="F7" s="162" t="s">
        <v>357</v>
      </c>
      <c r="G7" s="162" t="s">
        <v>358</v>
      </c>
      <c r="H7" s="162" t="s">
        <v>359</v>
      </c>
      <c r="I7" s="162" t="s">
        <v>360</v>
      </c>
    </row>
    <row r="8" spans="1:9" ht="21" customHeight="1">
      <c r="A8" s="163">
        <v>1</v>
      </c>
      <c r="B8" s="367">
        <v>2</v>
      </c>
      <c r="C8" s="367"/>
      <c r="D8" s="367"/>
      <c r="E8" s="163">
        <v>3</v>
      </c>
      <c r="F8" s="163">
        <v>4</v>
      </c>
      <c r="G8" s="163">
        <v>5</v>
      </c>
      <c r="H8" s="163">
        <v>6</v>
      </c>
      <c r="I8" s="163">
        <v>7</v>
      </c>
    </row>
    <row r="9" spans="1:9" ht="24.95" customHeight="1">
      <c r="A9" s="162" t="s">
        <v>361</v>
      </c>
      <c r="B9" s="376" t="s">
        <v>362</v>
      </c>
      <c r="C9" s="376"/>
      <c r="D9" s="376"/>
      <c r="E9" s="162"/>
      <c r="F9" s="162"/>
      <c r="G9" s="162"/>
      <c r="H9" s="162"/>
      <c r="I9" s="162"/>
    </row>
    <row r="10" spans="1:9" ht="24.95" customHeight="1">
      <c r="A10" s="164">
        <v>1</v>
      </c>
      <c r="B10" s="376" t="s">
        <v>363</v>
      </c>
      <c r="C10" s="376"/>
      <c r="D10" s="376"/>
      <c r="E10" s="377" t="s">
        <v>364</v>
      </c>
      <c r="F10" s="378"/>
      <c r="G10" s="378"/>
      <c r="H10" s="378"/>
      <c r="I10" s="379"/>
    </row>
    <row r="11" spans="1:9" ht="24.95" customHeight="1">
      <c r="A11" s="164">
        <v>2</v>
      </c>
      <c r="B11" s="376" t="s">
        <v>365</v>
      </c>
      <c r="C11" s="376"/>
      <c r="D11" s="376"/>
      <c r="E11" s="380" t="s">
        <v>366</v>
      </c>
      <c r="F11" s="380"/>
      <c r="G11" s="380"/>
      <c r="H11" s="380"/>
      <c r="I11" s="380"/>
    </row>
    <row r="12" spans="1:9" ht="24.95" customHeight="1">
      <c r="A12" s="164">
        <v>3</v>
      </c>
      <c r="B12" s="376" t="s">
        <v>367</v>
      </c>
      <c r="C12" s="376"/>
      <c r="D12" s="376"/>
      <c r="E12" s="380" t="s">
        <v>368</v>
      </c>
      <c r="F12" s="380"/>
      <c r="G12" s="380"/>
      <c r="H12" s="380"/>
      <c r="I12" s="380"/>
    </row>
    <row r="13" spans="1:9" ht="36.6" customHeight="1">
      <c r="A13" s="165">
        <v>4</v>
      </c>
      <c r="B13" s="375" t="s">
        <v>369</v>
      </c>
      <c r="C13" s="376"/>
      <c r="D13" s="376"/>
      <c r="E13" s="381" t="s">
        <v>370</v>
      </c>
      <c r="F13" s="382"/>
      <c r="G13" s="382"/>
      <c r="H13" s="382"/>
      <c r="I13" s="383"/>
    </row>
    <row r="14" spans="1:9" ht="24.95" customHeight="1">
      <c r="A14" s="162" t="s">
        <v>371</v>
      </c>
      <c r="B14" s="376" t="s">
        <v>372</v>
      </c>
      <c r="C14" s="376"/>
      <c r="D14" s="376"/>
      <c r="E14" s="166"/>
      <c r="F14" s="166"/>
      <c r="G14" s="166"/>
      <c r="H14" s="166"/>
      <c r="I14" s="166"/>
    </row>
    <row r="15" spans="1:9" ht="24.95" customHeight="1">
      <c r="A15" s="165">
        <v>5</v>
      </c>
      <c r="B15" s="376" t="s">
        <v>373</v>
      </c>
      <c r="C15" s="376"/>
      <c r="D15" s="376"/>
      <c r="E15" s="166" t="s">
        <v>9</v>
      </c>
      <c r="F15" s="166" t="s">
        <v>9</v>
      </c>
      <c r="G15" s="166" t="s">
        <v>8</v>
      </c>
      <c r="H15" s="166" t="s">
        <v>8</v>
      </c>
      <c r="I15" s="166" t="s">
        <v>8</v>
      </c>
    </row>
    <row r="16" spans="1:9" ht="24.95" customHeight="1">
      <c r="A16" s="165">
        <v>6</v>
      </c>
      <c r="B16" s="376" t="s">
        <v>374</v>
      </c>
      <c r="C16" s="376"/>
      <c r="D16" s="376"/>
      <c r="E16" s="166" t="s">
        <v>9</v>
      </c>
      <c r="F16" s="166" t="s">
        <v>9</v>
      </c>
      <c r="G16" s="166" t="s">
        <v>8</v>
      </c>
      <c r="H16" s="166" t="s">
        <v>8</v>
      </c>
      <c r="I16" s="166" t="s">
        <v>8</v>
      </c>
    </row>
    <row r="17" spans="1:9" ht="24.95" customHeight="1">
      <c r="A17" s="165">
        <v>7</v>
      </c>
      <c r="B17" s="375" t="s">
        <v>375</v>
      </c>
      <c r="C17" s="376"/>
      <c r="D17" s="376"/>
      <c r="E17" s="167">
        <f>+'[5]Annexure VI(C)'!O17</f>
        <v>36530113.714000002</v>
      </c>
      <c r="F17" s="167">
        <f>+'[5]Annexure VI(C)'!P17</f>
        <v>35034553.142999999</v>
      </c>
      <c r="G17" s="167">
        <f>+'[5]Annexure VI(C)'!Q17</f>
        <v>34791674.285999998</v>
      </c>
      <c r="H17" s="167">
        <f>+'[5]Annexure VI(C)'!R17</f>
        <v>33454301.714000002</v>
      </c>
      <c r="I17" s="167">
        <f>+'[5]Annexure VI(C)'!S17</f>
        <v>35282635.428999998</v>
      </c>
    </row>
    <row r="18" spans="1:9" ht="24.95" customHeight="1">
      <c r="A18" s="164" t="s">
        <v>380</v>
      </c>
      <c r="B18" s="384" t="s">
        <v>381</v>
      </c>
      <c r="C18" s="385"/>
      <c r="D18" s="386"/>
      <c r="E18" s="167">
        <f>+'[5]Annexure VI(C)'!O18</f>
        <v>28157707.067000002</v>
      </c>
      <c r="F18" s="167">
        <f>+'[5]Annexure VI(C)'!P18</f>
        <v>27683438.195</v>
      </c>
      <c r="G18" s="167">
        <f>+'[5]Annexure VI(C)'!Q18</f>
        <v>39464338.285999998</v>
      </c>
      <c r="H18" s="167">
        <f>+'[5]Annexure VI(C)'!R18</f>
        <v>40186800</v>
      </c>
      <c r="I18" s="167">
        <f>+'[5]Annexure VI(C)'!S18</f>
        <v>39651657.142999999</v>
      </c>
    </row>
    <row r="19" spans="1:9">
      <c r="A19" s="168">
        <v>8</v>
      </c>
      <c r="B19" s="376" t="s">
        <v>382</v>
      </c>
      <c r="C19" s="376"/>
      <c r="D19" s="376"/>
      <c r="E19" s="167">
        <f>+'[5]Annexure VI(C)'!O19</f>
        <v>107</v>
      </c>
      <c r="F19" s="167">
        <f>+'[5]Annexure VI(C)'!P19</f>
        <v>105.197</v>
      </c>
      <c r="G19" s="167">
        <f>+'[5]Annexure VI(C)'!Q19</f>
        <v>148.386</v>
      </c>
      <c r="H19" s="167">
        <f>+'[5]Annexure VI(C)'!R19</f>
        <v>151.102</v>
      </c>
      <c r="I19" s="167">
        <f>+'[5]Annexure VI(C)'!S19</f>
        <v>149.09</v>
      </c>
    </row>
    <row r="20" spans="1:9">
      <c r="A20" s="165">
        <v>9</v>
      </c>
      <c r="B20" s="376" t="s">
        <v>383</v>
      </c>
      <c r="C20" s="376"/>
      <c r="D20" s="376"/>
      <c r="E20" s="167">
        <f>+'[5]Annexure VI(C)'!O20</f>
        <v>35.195999999999998</v>
      </c>
      <c r="F20" s="167">
        <f>+'[5]Annexure VI(C)'!P20</f>
        <v>34.619999999999997</v>
      </c>
      <c r="G20" s="167">
        <f>+'[5]Annexure VI(C)'!Q20</f>
        <v>34.448999999999998</v>
      </c>
      <c r="H20" s="167">
        <f>+'[5]Annexure VI(C)'!R20</f>
        <v>32.896000000000001</v>
      </c>
      <c r="I20" s="167">
        <f>+'[5]Annexure VI(C)'!S20</f>
        <v>34.429000000000002</v>
      </c>
    </row>
    <row r="21" spans="1:9">
      <c r="A21" s="162"/>
      <c r="B21" s="376" t="s">
        <v>384</v>
      </c>
      <c r="C21" s="376"/>
      <c r="D21" s="376"/>
      <c r="E21" s="170">
        <f>+E19+E20</f>
        <v>142.196</v>
      </c>
      <c r="F21" s="170">
        <f t="shared" ref="F21:I21" si="0">+F19+F20</f>
        <v>139.81700000000001</v>
      </c>
      <c r="G21" s="170">
        <f t="shared" si="0"/>
        <v>182.83499999999998</v>
      </c>
      <c r="H21" s="170">
        <f t="shared" si="0"/>
        <v>183.99799999999999</v>
      </c>
      <c r="I21" s="170">
        <f t="shared" si="0"/>
        <v>183.51900000000001</v>
      </c>
    </row>
    <row r="22" spans="1:9" ht="31.15" customHeight="1">
      <c r="A22" s="372" t="s">
        <v>385</v>
      </c>
      <c r="B22" s="372"/>
      <c r="C22" s="372" t="s">
        <v>386</v>
      </c>
      <c r="D22" s="372"/>
      <c r="E22" s="372"/>
      <c r="F22" s="372"/>
      <c r="G22" s="372"/>
      <c r="H22" s="372"/>
      <c r="I22" s="372"/>
    </row>
  </sheetData>
  <mergeCells count="31">
    <mergeCell ref="B18:D18"/>
    <mergeCell ref="B19:D19"/>
    <mergeCell ref="B20:D20"/>
    <mergeCell ref="B21:D21"/>
    <mergeCell ref="A22:B22"/>
    <mergeCell ref="C22:I22"/>
    <mergeCell ref="B17:D17"/>
    <mergeCell ref="B9:D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B15:D15"/>
    <mergeCell ref="B16:D16"/>
    <mergeCell ref="B8:D8"/>
    <mergeCell ref="A1:B1"/>
    <mergeCell ref="C1:I1"/>
    <mergeCell ref="A2:B2"/>
    <mergeCell ref="C2:I2"/>
    <mergeCell ref="B3:C3"/>
    <mergeCell ref="D3:I3"/>
    <mergeCell ref="B4:I4"/>
    <mergeCell ref="B5:I5"/>
    <mergeCell ref="B6:G6"/>
    <mergeCell ref="H6:I6"/>
    <mergeCell ref="B7:D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H18"/>
  <sheetViews>
    <sheetView topLeftCell="A10" workbookViewId="0">
      <selection activeCell="J4" sqref="J4"/>
    </sheetView>
  </sheetViews>
  <sheetFormatPr defaultColWidth="8.83203125" defaultRowHeight="15.75"/>
  <cols>
    <col min="1" max="1" width="8" style="139" customWidth="1"/>
    <col min="2" max="2" width="13.1640625" style="139" customWidth="1"/>
    <col min="3" max="3" width="31.1640625" style="139" customWidth="1"/>
    <col min="4" max="5" width="13.1640625" style="139" customWidth="1"/>
    <col min="6" max="8" width="15.33203125" style="139" bestFit="1" customWidth="1"/>
    <col min="9" max="16384" width="8.83203125" style="139"/>
  </cols>
  <sheetData>
    <row r="1" spans="1:8" ht="21" customHeight="1">
      <c r="A1" s="390" t="s">
        <v>387</v>
      </c>
      <c r="B1" s="390"/>
      <c r="C1" s="390"/>
      <c r="D1" s="390"/>
      <c r="E1" s="390"/>
      <c r="F1" s="390"/>
      <c r="G1" s="390"/>
      <c r="H1" s="390"/>
    </row>
    <row r="2" spans="1:8" ht="20.45" customHeight="1">
      <c r="A2" s="374" t="s">
        <v>388</v>
      </c>
      <c r="B2" s="374"/>
      <c r="C2" s="374"/>
      <c r="D2" s="374"/>
      <c r="E2" s="374"/>
      <c r="F2" s="374"/>
      <c r="G2" s="374"/>
      <c r="H2" s="374"/>
    </row>
    <row r="3" spans="1:8" ht="48.75" customHeight="1">
      <c r="A3" s="391" t="s">
        <v>389</v>
      </c>
      <c r="B3" s="374"/>
      <c r="C3" s="374"/>
      <c r="D3" s="374"/>
      <c r="E3" s="374"/>
      <c r="F3" s="374"/>
      <c r="G3" s="374"/>
      <c r="H3" s="374"/>
    </row>
    <row r="4" spans="1:8" ht="31.9" customHeight="1">
      <c r="A4" s="162"/>
      <c r="B4" s="392" t="s">
        <v>351</v>
      </c>
      <c r="C4" s="392"/>
      <c r="D4" s="392"/>
      <c r="E4" s="392"/>
      <c r="F4" s="392"/>
      <c r="G4" s="392"/>
      <c r="H4" s="392"/>
    </row>
    <row r="5" spans="1:8" ht="38.25" customHeight="1">
      <c r="A5" s="162"/>
      <c r="B5" s="392" t="s">
        <v>390</v>
      </c>
      <c r="C5" s="392"/>
      <c r="D5" s="392"/>
      <c r="E5" s="392"/>
      <c r="F5" s="392"/>
      <c r="G5" s="392"/>
      <c r="H5" s="392"/>
    </row>
    <row r="6" spans="1:8" ht="22.9" customHeight="1">
      <c r="A6" s="180"/>
      <c r="B6" s="387"/>
      <c r="C6" s="388"/>
      <c r="D6" s="389" t="s">
        <v>391</v>
      </c>
      <c r="E6" s="389"/>
      <c r="F6" s="389"/>
      <c r="G6" s="389"/>
      <c r="H6" s="389"/>
    </row>
    <row r="7" spans="1:8" ht="28.15" customHeight="1">
      <c r="A7" s="171" t="s">
        <v>392</v>
      </c>
      <c r="B7" s="399" t="s">
        <v>393</v>
      </c>
      <c r="C7" s="400"/>
      <c r="D7" s="162" t="s">
        <v>394</v>
      </c>
      <c r="E7" s="162" t="s">
        <v>395</v>
      </c>
      <c r="F7" s="162" t="s">
        <v>396</v>
      </c>
      <c r="G7" s="162" t="s">
        <v>397</v>
      </c>
      <c r="H7" s="162" t="s">
        <v>398</v>
      </c>
    </row>
    <row r="8" spans="1:8" ht="22.15" customHeight="1">
      <c r="A8" s="172">
        <v>1</v>
      </c>
      <c r="B8" s="401">
        <v>2</v>
      </c>
      <c r="C8" s="402"/>
      <c r="D8" s="173">
        <v>3</v>
      </c>
      <c r="E8" s="173">
        <v>4</v>
      </c>
      <c r="F8" s="173">
        <v>5</v>
      </c>
      <c r="G8" s="173">
        <v>6</v>
      </c>
      <c r="H8" s="173">
        <v>7</v>
      </c>
    </row>
    <row r="9" spans="1:8" ht="33" customHeight="1">
      <c r="A9" s="125" t="s">
        <v>399</v>
      </c>
      <c r="B9" s="396" t="s">
        <v>400</v>
      </c>
      <c r="C9" s="397"/>
      <c r="D9" s="174">
        <v>0</v>
      </c>
      <c r="E9" s="174">
        <v>0</v>
      </c>
      <c r="F9" s="174">
        <f>123333611.379/100000</f>
        <v>1233.3361137899999</v>
      </c>
      <c r="G9" s="174">
        <f>126901393.754/100000</f>
        <v>1269.0139375399999</v>
      </c>
      <c r="H9" s="174">
        <f>127831088.672/100000</f>
        <v>1278.3108867200001</v>
      </c>
    </row>
    <row r="10" spans="1:8" ht="12" customHeight="1">
      <c r="A10" s="125"/>
      <c r="B10" s="81"/>
      <c r="C10" s="175"/>
      <c r="D10" s="174"/>
      <c r="E10" s="174"/>
      <c r="F10" s="174"/>
      <c r="G10" s="174"/>
      <c r="H10" s="174"/>
    </row>
    <row r="11" spans="1:8" ht="37.15" customHeight="1">
      <c r="A11" s="125" t="s">
        <v>401</v>
      </c>
      <c r="B11" s="396" t="s">
        <v>402</v>
      </c>
      <c r="C11" s="397"/>
      <c r="D11" s="174">
        <v>0</v>
      </c>
      <c r="E11" s="174">
        <v>0</v>
      </c>
      <c r="F11" s="174">
        <f>30259749.759/100000</f>
        <v>302.59749758999999</v>
      </c>
      <c r="G11" s="174">
        <f>33700741.144/100000</f>
        <v>337.00741144</v>
      </c>
      <c r="H11" s="174">
        <f>94595827.551/100000</f>
        <v>945.95827551000002</v>
      </c>
    </row>
    <row r="12" spans="1:8" ht="12" customHeight="1">
      <c r="A12" s="176"/>
      <c r="B12" s="396"/>
      <c r="C12" s="397"/>
      <c r="D12" s="177"/>
      <c r="E12" s="177"/>
      <c r="F12" s="177"/>
      <c r="G12" s="177"/>
      <c r="H12" s="177"/>
    </row>
    <row r="13" spans="1:8" ht="37.9" customHeight="1">
      <c r="A13" s="125" t="s">
        <v>403</v>
      </c>
      <c r="B13" s="396" t="s">
        <v>404</v>
      </c>
      <c r="C13" s="397"/>
      <c r="D13" s="178">
        <v>0</v>
      </c>
      <c r="E13" s="178">
        <v>0</v>
      </c>
      <c r="F13" s="178">
        <f>26691967.384/100000</f>
        <v>266.91967383999997</v>
      </c>
      <c r="G13" s="178">
        <f>32771046.226/100000</f>
        <v>327.71046225999999</v>
      </c>
      <c r="H13" s="178">
        <f>69132727.954/100000</f>
        <v>691.32727953999995</v>
      </c>
    </row>
    <row r="14" spans="1:8" ht="21.6" customHeight="1">
      <c r="A14" s="172"/>
      <c r="B14" s="393"/>
      <c r="C14" s="394"/>
      <c r="D14" s="395" t="s">
        <v>405</v>
      </c>
      <c r="E14" s="395"/>
      <c r="F14" s="395"/>
      <c r="G14" s="395"/>
      <c r="H14" s="395"/>
    </row>
    <row r="15" spans="1:8" ht="16.149999999999999" customHeight="1">
      <c r="A15" s="176"/>
      <c r="B15" s="396" t="s">
        <v>406</v>
      </c>
      <c r="C15" s="397"/>
      <c r="D15" s="177"/>
      <c r="E15" s="177"/>
      <c r="F15" s="177"/>
      <c r="G15" s="177"/>
      <c r="H15" s="177"/>
    </row>
    <row r="16" spans="1:8" ht="38.450000000000003" customHeight="1">
      <c r="A16" s="125" t="s">
        <v>407</v>
      </c>
      <c r="B16" s="398" t="s">
        <v>408</v>
      </c>
      <c r="C16" s="397"/>
      <c r="D16" s="174">
        <f t="shared" ref="D16:G16" si="0">+D9+D11-D13</f>
        <v>0</v>
      </c>
      <c r="E16" s="174">
        <f t="shared" si="0"/>
        <v>0</v>
      </c>
      <c r="F16" s="174">
        <f t="shared" si="0"/>
        <v>1269.0139375399999</v>
      </c>
      <c r="G16" s="174">
        <f t="shared" si="0"/>
        <v>1278.3108867199999</v>
      </c>
      <c r="H16" s="174">
        <f>+H9+H11-H13</f>
        <v>1532.9418826900001</v>
      </c>
    </row>
    <row r="18" spans="8:8">
      <c r="H18" s="179"/>
    </row>
  </sheetData>
  <mergeCells count="17">
    <mergeCell ref="B14:C14"/>
    <mergeCell ref="D14:H14"/>
    <mergeCell ref="B15:C15"/>
    <mergeCell ref="B16:C16"/>
    <mergeCell ref="B7:C7"/>
    <mergeCell ref="B8:C8"/>
    <mergeCell ref="B9:C9"/>
    <mergeCell ref="B11:C11"/>
    <mergeCell ref="B12:C12"/>
    <mergeCell ref="B13:C13"/>
    <mergeCell ref="B6:C6"/>
    <mergeCell ref="D6:H6"/>
    <mergeCell ref="A1:H1"/>
    <mergeCell ref="A2:H2"/>
    <mergeCell ref="A3:H3"/>
    <mergeCell ref="B4:H4"/>
    <mergeCell ref="B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H16"/>
  <sheetViews>
    <sheetView topLeftCell="A5" workbookViewId="0">
      <selection activeCell="K12" sqref="K12"/>
    </sheetView>
  </sheetViews>
  <sheetFormatPr defaultColWidth="8.83203125" defaultRowHeight="15.75"/>
  <cols>
    <col min="1" max="1" width="8" style="139" customWidth="1"/>
    <col min="2" max="2" width="13.1640625" style="139" customWidth="1"/>
    <col min="3" max="3" width="31.1640625" style="139" customWidth="1"/>
    <col min="4" max="5" width="13.1640625" style="139" customWidth="1"/>
    <col min="6" max="6" width="16.6640625" style="139" customWidth="1"/>
    <col min="7" max="8" width="16.6640625" style="139" bestFit="1" customWidth="1"/>
    <col min="9" max="9" width="8.83203125" style="139"/>
    <col min="10" max="10" width="9.1640625" style="139" bestFit="1" customWidth="1"/>
    <col min="11" max="16384" width="8.83203125" style="139"/>
  </cols>
  <sheetData>
    <row r="1" spans="1:8" ht="21" customHeight="1">
      <c r="A1" s="370" t="s">
        <v>387</v>
      </c>
      <c r="B1" s="371"/>
      <c r="C1" s="371"/>
      <c r="D1" s="371"/>
      <c r="E1" s="371"/>
      <c r="F1" s="371"/>
      <c r="G1" s="371"/>
      <c r="H1" s="371"/>
    </row>
    <row r="2" spans="1:8" ht="20.45" customHeight="1">
      <c r="A2" s="374" t="s">
        <v>388</v>
      </c>
      <c r="B2" s="374"/>
      <c r="C2" s="374"/>
      <c r="D2" s="374"/>
      <c r="E2" s="374"/>
      <c r="F2" s="374"/>
      <c r="G2" s="374"/>
      <c r="H2" s="374"/>
    </row>
    <row r="3" spans="1:8" ht="48.75" customHeight="1">
      <c r="A3" s="391" t="s">
        <v>389</v>
      </c>
      <c r="B3" s="374"/>
      <c r="C3" s="374"/>
      <c r="D3" s="374"/>
      <c r="E3" s="374"/>
      <c r="F3" s="374"/>
      <c r="G3" s="374"/>
      <c r="H3" s="374"/>
    </row>
    <row r="4" spans="1:8" ht="31.9" customHeight="1">
      <c r="A4" s="162"/>
      <c r="B4" s="392" t="s">
        <v>351</v>
      </c>
      <c r="C4" s="392"/>
      <c r="D4" s="392"/>
      <c r="E4" s="392"/>
      <c r="F4" s="392"/>
      <c r="G4" s="392"/>
      <c r="H4" s="392"/>
    </row>
    <row r="5" spans="1:8" ht="24.6" customHeight="1">
      <c r="A5" s="162"/>
      <c r="B5" s="392" t="s">
        <v>486</v>
      </c>
      <c r="C5" s="392"/>
      <c r="D5" s="392"/>
      <c r="E5" s="392"/>
      <c r="F5" s="392"/>
      <c r="G5" s="392"/>
      <c r="H5" s="392"/>
    </row>
    <row r="6" spans="1:8" ht="22.9" customHeight="1">
      <c r="A6" s="162"/>
      <c r="B6" s="374"/>
      <c r="C6" s="374"/>
      <c r="D6" s="390" t="s">
        <v>391</v>
      </c>
      <c r="E6" s="390"/>
      <c r="F6" s="390"/>
      <c r="G6" s="390"/>
      <c r="H6" s="390"/>
    </row>
    <row r="7" spans="1:8" ht="28.15" customHeight="1">
      <c r="A7" s="162" t="s">
        <v>392</v>
      </c>
      <c r="B7" s="374" t="s">
        <v>393</v>
      </c>
      <c r="C7" s="374"/>
      <c r="D7" s="162" t="s">
        <v>394</v>
      </c>
      <c r="E7" s="162" t="s">
        <v>395</v>
      </c>
      <c r="F7" s="162" t="s">
        <v>396</v>
      </c>
      <c r="G7" s="162" t="s">
        <v>397</v>
      </c>
      <c r="H7" s="162" t="s">
        <v>398</v>
      </c>
    </row>
    <row r="8" spans="1:8" ht="22.15" customHeight="1">
      <c r="A8" s="173">
        <v>1</v>
      </c>
      <c r="B8" s="403">
        <v>2</v>
      </c>
      <c r="C8" s="403"/>
      <c r="D8" s="173">
        <v>3</v>
      </c>
      <c r="E8" s="173">
        <v>4</v>
      </c>
      <c r="F8" s="173">
        <v>5</v>
      </c>
      <c r="G8" s="173">
        <v>6</v>
      </c>
      <c r="H8" s="173">
        <v>7</v>
      </c>
    </row>
    <row r="9" spans="1:8" ht="33" customHeight="1">
      <c r="A9" s="113" t="s">
        <v>399</v>
      </c>
      <c r="B9" s="376" t="s">
        <v>400</v>
      </c>
      <c r="C9" s="376"/>
      <c r="D9" s="181">
        <v>0</v>
      </c>
      <c r="E9" s="181">
        <v>0</v>
      </c>
      <c r="F9" s="182">
        <v>1644.4481517199999</v>
      </c>
      <c r="G9" s="182">
        <v>1692.0185833799999</v>
      </c>
      <c r="H9" s="182">
        <v>1704.4145156299999</v>
      </c>
    </row>
    <row r="10" spans="1:8" ht="12" customHeight="1">
      <c r="A10" s="113"/>
      <c r="B10" s="302"/>
      <c r="C10" s="304"/>
      <c r="D10" s="181"/>
      <c r="E10" s="181"/>
      <c r="F10" s="182"/>
      <c r="G10" s="182"/>
      <c r="H10" s="182"/>
    </row>
    <row r="11" spans="1:8" ht="37.15" customHeight="1">
      <c r="A11" s="113" t="s">
        <v>401</v>
      </c>
      <c r="B11" s="376" t="s">
        <v>402</v>
      </c>
      <c r="C11" s="376"/>
      <c r="D11" s="181">
        <v>0</v>
      </c>
      <c r="E11" s="181">
        <v>0</v>
      </c>
      <c r="F11" s="182">
        <v>403.46333011000002</v>
      </c>
      <c r="G11" s="182">
        <v>449.34321526000002</v>
      </c>
      <c r="H11" s="182">
        <v>1261.2777006900001</v>
      </c>
    </row>
    <row r="12" spans="1:8" ht="12" customHeight="1">
      <c r="A12" s="121"/>
      <c r="B12" s="376"/>
      <c r="C12" s="376"/>
      <c r="D12" s="162"/>
      <c r="E12" s="162"/>
      <c r="F12" s="162"/>
      <c r="G12" s="162"/>
      <c r="H12" s="162"/>
    </row>
    <row r="13" spans="1:8" ht="37.9" customHeight="1">
      <c r="A13" s="113" t="s">
        <v>403</v>
      </c>
      <c r="B13" s="376" t="s">
        <v>404</v>
      </c>
      <c r="C13" s="376"/>
      <c r="D13" s="183">
        <v>0</v>
      </c>
      <c r="E13" s="183">
        <v>0</v>
      </c>
      <c r="F13" s="183">
        <v>355.89289844999996</v>
      </c>
      <c r="G13" s="183">
        <v>436.94728300999998</v>
      </c>
      <c r="H13" s="183">
        <v>921.76970606000009</v>
      </c>
    </row>
    <row r="14" spans="1:8" ht="21.6" customHeight="1">
      <c r="A14" s="173"/>
      <c r="B14" s="404"/>
      <c r="C14" s="405"/>
      <c r="D14" s="404" t="s">
        <v>405</v>
      </c>
      <c r="E14" s="404"/>
      <c r="F14" s="404"/>
      <c r="G14" s="404"/>
      <c r="H14" s="404"/>
    </row>
    <row r="15" spans="1:8" ht="16.149999999999999" customHeight="1">
      <c r="A15" s="121"/>
      <c r="B15" s="376" t="s">
        <v>406</v>
      </c>
      <c r="C15" s="376"/>
      <c r="D15" s="162"/>
      <c r="E15" s="162"/>
      <c r="F15" s="162"/>
      <c r="G15" s="162"/>
      <c r="H15" s="162"/>
    </row>
    <row r="16" spans="1:8" ht="38.450000000000003" customHeight="1">
      <c r="A16" s="113" t="s">
        <v>407</v>
      </c>
      <c r="B16" s="406" t="s">
        <v>408</v>
      </c>
      <c r="C16" s="376"/>
      <c r="D16" s="174">
        <f>+D9+D11-D13</f>
        <v>0</v>
      </c>
      <c r="E16" s="174">
        <f t="shared" ref="E16:H16" si="0">+E9+E11-E13</f>
        <v>0</v>
      </c>
      <c r="F16" s="174">
        <f t="shared" si="0"/>
        <v>1692.0185833800001</v>
      </c>
      <c r="G16" s="174">
        <f t="shared" si="0"/>
        <v>1704.4145156300001</v>
      </c>
      <c r="H16" s="174">
        <f t="shared" si="0"/>
        <v>2043.9225102599996</v>
      </c>
    </row>
  </sheetData>
  <mergeCells count="18">
    <mergeCell ref="B13:C13"/>
    <mergeCell ref="B14:C14"/>
    <mergeCell ref="D14:H14"/>
    <mergeCell ref="B15:C15"/>
    <mergeCell ref="B16:C16"/>
    <mergeCell ref="B12:C12"/>
    <mergeCell ref="A1:H1"/>
    <mergeCell ref="A2:H2"/>
    <mergeCell ref="A3:H3"/>
    <mergeCell ref="B4:H4"/>
    <mergeCell ref="B5:H5"/>
    <mergeCell ref="B6:C6"/>
    <mergeCell ref="D6:H6"/>
    <mergeCell ref="B7:C7"/>
    <mergeCell ref="B8:C8"/>
    <mergeCell ref="B9:C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77"/>
  <sheetViews>
    <sheetView workbookViewId="0">
      <selection activeCell="Q9" sqref="Q9"/>
    </sheetView>
  </sheetViews>
  <sheetFormatPr defaultRowHeight="15.75"/>
  <cols>
    <col min="1" max="1" width="4.6640625" style="408" customWidth="1"/>
    <col min="2" max="2" width="40" style="408" customWidth="1"/>
    <col min="3" max="15" width="11.6640625" style="408" customWidth="1"/>
    <col min="16" max="30" width="13.1640625" style="408" customWidth="1"/>
    <col min="31" max="16384" width="9.33203125" style="408"/>
  </cols>
  <sheetData>
    <row r="1" spans="1:30" ht="13.5" customHeight="1">
      <c r="N1" s="408" t="s">
        <v>511</v>
      </c>
      <c r="O1" s="409"/>
    </row>
    <row r="2" spans="1:30" ht="13.5" customHeight="1">
      <c r="A2" s="410" t="s">
        <v>512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30" ht="13.5" customHeight="1">
      <c r="A3" s="411" t="s">
        <v>513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</row>
    <row r="4" spans="1:30" ht="13.5" customHeight="1">
      <c r="A4" s="411" t="s">
        <v>514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</row>
    <row r="5" spans="1:30" ht="13.5" customHeight="1">
      <c r="A5" s="411" t="s">
        <v>515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</row>
    <row r="6" spans="1:30" ht="13.5" customHeight="1">
      <c r="A6" s="411" t="s">
        <v>516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30" ht="13.5" customHeight="1">
      <c r="A7" s="411" t="s">
        <v>517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</row>
    <row r="8" spans="1:30" ht="13.5" customHeight="1">
      <c r="A8" s="412" t="s">
        <v>518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</row>
    <row r="9" spans="1:30">
      <c r="A9" s="413"/>
      <c r="B9" s="413"/>
      <c r="C9" s="414" t="s">
        <v>519</v>
      </c>
      <c r="D9" s="414" t="s">
        <v>520</v>
      </c>
      <c r="E9" s="414" t="s">
        <v>521</v>
      </c>
      <c r="F9" s="414" t="s">
        <v>522</v>
      </c>
      <c r="G9" s="414" t="s">
        <v>523</v>
      </c>
      <c r="H9" s="414" t="s">
        <v>524</v>
      </c>
      <c r="I9" s="414" t="s">
        <v>525</v>
      </c>
      <c r="J9" s="414" t="s">
        <v>526</v>
      </c>
      <c r="K9" s="414" t="s">
        <v>527</v>
      </c>
      <c r="L9" s="414" t="s">
        <v>528</v>
      </c>
      <c r="M9" s="414" t="s">
        <v>529</v>
      </c>
      <c r="N9" s="414" t="s">
        <v>530</v>
      </c>
      <c r="O9" s="414" t="s">
        <v>531</v>
      </c>
    </row>
    <row r="10" spans="1:30">
      <c r="A10" s="415">
        <v>1</v>
      </c>
      <c r="B10" s="416" t="s">
        <v>532</v>
      </c>
      <c r="C10" s="417">
        <v>71.293999999999997</v>
      </c>
      <c r="D10" s="417">
        <v>72.094999999999999</v>
      </c>
      <c r="E10" s="417">
        <v>57.419408398556691</v>
      </c>
      <c r="F10" s="417">
        <v>83.831999999999994</v>
      </c>
      <c r="G10" s="417">
        <v>66.405561484593107</v>
      </c>
      <c r="H10" s="417">
        <v>77.262912428715282</v>
      </c>
      <c r="I10" s="417">
        <v>82.159252800495096</v>
      </c>
      <c r="J10" s="417">
        <v>84.913475437614565</v>
      </c>
      <c r="K10" s="417">
        <v>86.346644153312496</v>
      </c>
      <c r="L10" s="417">
        <v>88.947066011193698</v>
      </c>
      <c r="M10" s="417">
        <v>87.778581461230402</v>
      </c>
      <c r="N10" s="417">
        <v>85.969108731521601</v>
      </c>
      <c r="O10" s="417">
        <v>92.123731318985165</v>
      </c>
    </row>
    <row r="11" spans="1:30">
      <c r="A11" s="415">
        <v>2</v>
      </c>
      <c r="B11" s="416" t="s">
        <v>533</v>
      </c>
      <c r="C11" s="417">
        <v>71.092999999999989</v>
      </c>
      <c r="D11" s="417">
        <v>69.534999999999997</v>
      </c>
      <c r="E11" s="417">
        <v>56.638585839530201</v>
      </c>
      <c r="F11" s="417">
        <v>81.066000000000003</v>
      </c>
      <c r="G11" s="417">
        <v>66.373216816623497</v>
      </c>
      <c r="H11" s="417">
        <v>76.958736821625692</v>
      </c>
      <c r="I11" s="417">
        <v>81.658271788284694</v>
      </c>
      <c r="J11" s="417">
        <v>84.407982252296691</v>
      </c>
      <c r="K11" s="417">
        <v>85.640357259724198</v>
      </c>
      <c r="L11" s="417">
        <v>86.559395841881908</v>
      </c>
      <c r="M11" s="417">
        <v>87.145590748706297</v>
      </c>
      <c r="N11" s="417">
        <v>83.589702735618005</v>
      </c>
      <c r="O11" s="417">
        <v>85.182337997113549</v>
      </c>
    </row>
    <row r="12" spans="1:30">
      <c r="A12" s="415">
        <v>3</v>
      </c>
      <c r="B12" s="416" t="s">
        <v>534</v>
      </c>
      <c r="C12" s="418">
        <v>3531.1454509999999</v>
      </c>
      <c r="D12" s="418">
        <v>3453.6956500000001</v>
      </c>
      <c r="E12" s="418">
        <v>2589.8257041112302</v>
      </c>
      <c r="F12" s="418">
        <v>3716.9157249999998</v>
      </c>
      <c r="G12" s="418">
        <v>3034.9464520000001</v>
      </c>
      <c r="H12" s="418">
        <v>3518.9740670000001</v>
      </c>
      <c r="I12" s="418">
        <v>3733.8624909999999</v>
      </c>
      <c r="J12" s="418">
        <v>3870.1685130000001</v>
      </c>
      <c r="K12" s="418">
        <v>3915.9452030000002</v>
      </c>
      <c r="L12" s="418">
        <v>3957.9686729999999</v>
      </c>
      <c r="M12" s="418">
        <v>3984.7727049999999</v>
      </c>
      <c r="N12" s="418">
        <v>3832.6497890000001</v>
      </c>
      <c r="O12" s="418">
        <v>3895.0020590000013</v>
      </c>
    </row>
    <row r="13" spans="1:30">
      <c r="A13" s="415">
        <v>4</v>
      </c>
      <c r="B13" s="416" t="s">
        <v>535</v>
      </c>
      <c r="C13" s="418">
        <v>3531.1454509999999</v>
      </c>
      <c r="D13" s="418">
        <v>3453.6956500000001</v>
      </c>
      <c r="E13" s="418">
        <v>2589.8257041112302</v>
      </c>
      <c r="F13" s="418">
        <v>3716.9157249999998</v>
      </c>
      <c r="G13" s="418">
        <v>3034.9464520000001</v>
      </c>
      <c r="H13" s="418">
        <v>3518.9740670000001</v>
      </c>
      <c r="I13" s="418">
        <v>3733.8624909999999</v>
      </c>
      <c r="J13" s="418">
        <v>3870.1685130000001</v>
      </c>
      <c r="K13" s="418">
        <v>3915.9452030000002</v>
      </c>
      <c r="L13" s="418">
        <v>3957.9686729999999</v>
      </c>
      <c r="M13" s="418">
        <v>3984.7727049999999</v>
      </c>
      <c r="N13" s="418">
        <v>3832.6497890000001</v>
      </c>
      <c r="O13" s="418">
        <v>3895.0020590000013</v>
      </c>
      <c r="P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</row>
    <row r="14" spans="1:30">
      <c r="A14" s="415">
        <v>5</v>
      </c>
      <c r="B14" s="420" t="s">
        <v>536</v>
      </c>
      <c r="C14" s="418">
        <v>3559.5369539999979</v>
      </c>
      <c r="D14" s="418">
        <v>3483.3011149999979</v>
      </c>
      <c r="E14" s="418">
        <v>2612.7080451259981</v>
      </c>
      <c r="F14" s="418">
        <v>3782.9004134980005</v>
      </c>
      <c r="G14" s="418">
        <v>3061.4749830779997</v>
      </c>
      <c r="H14" s="418">
        <v>3547.3765480207244</v>
      </c>
      <c r="I14" s="418">
        <v>3768.7537600339997</v>
      </c>
      <c r="J14" s="418">
        <v>3911.8125006</v>
      </c>
      <c r="K14" s="418">
        <v>3968.5657342499994</v>
      </c>
      <c r="L14" s="418">
        <v>3976.7249432919998</v>
      </c>
      <c r="M14" s="418">
        <v>3991.1755132189996</v>
      </c>
      <c r="N14" s="418">
        <v>3845.6671467360011</v>
      </c>
      <c r="O14" s="418">
        <v>3987.634381626</v>
      </c>
      <c r="P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</row>
    <row r="15" spans="1:30" ht="21.75" customHeight="1">
      <c r="A15" s="415">
        <v>6</v>
      </c>
      <c r="B15" s="420" t="s">
        <v>537</v>
      </c>
      <c r="C15" s="421">
        <v>4262348.4277645014</v>
      </c>
      <c r="D15" s="421">
        <v>4214635.6998295859</v>
      </c>
      <c r="E15" s="421">
        <v>3417182.173814062</v>
      </c>
      <c r="F15" s="421">
        <v>4926274.2335952995</v>
      </c>
      <c r="G15" s="421">
        <v>4179563.7355388552</v>
      </c>
      <c r="H15" s="421">
        <v>4761487.5937446505</v>
      </c>
      <c r="I15" s="421">
        <v>5056672.0159334214</v>
      </c>
      <c r="J15" s="421">
        <v>5183884.7105527027</v>
      </c>
      <c r="K15" s="421">
        <v>5232806.53494062</v>
      </c>
      <c r="L15" s="421">
        <v>5208708.0308522424</v>
      </c>
      <c r="M15" s="421">
        <v>5180117.9772154102</v>
      </c>
      <c r="N15" s="421">
        <v>5072308.8918945258</v>
      </c>
      <c r="O15" s="421">
        <v>5297917.5882164463</v>
      </c>
      <c r="P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30" ht="18.75" customHeight="1">
      <c r="A16" s="415">
        <v>7</v>
      </c>
      <c r="B16" s="416" t="s">
        <v>538</v>
      </c>
      <c r="C16" s="422">
        <v>30917.370555632588</v>
      </c>
      <c r="D16" s="422">
        <v>40764.799415891721</v>
      </c>
      <c r="E16" s="422">
        <v>32093.149821809526</v>
      </c>
      <c r="F16" s="422">
        <v>54289.01993649028</v>
      </c>
      <c r="G16" s="422">
        <v>49556.669255910652</v>
      </c>
      <c r="H16" s="422">
        <v>69583.903546224959</v>
      </c>
      <c r="I16" s="422">
        <v>76480.141572186636</v>
      </c>
      <c r="J16" s="422">
        <v>82112.733815154803</v>
      </c>
      <c r="K16" s="422">
        <v>87597.181394905987</v>
      </c>
      <c r="L16" s="422">
        <v>92084.228406633716</v>
      </c>
      <c r="M16" s="422">
        <v>99976.276960257412</v>
      </c>
      <c r="N16" s="422">
        <v>117905.31296119906</v>
      </c>
      <c r="O16" s="422">
        <v>139529.66614558009</v>
      </c>
    </row>
    <row r="17" spans="1:15" ht="18" customHeight="1">
      <c r="A17" s="415">
        <v>8</v>
      </c>
      <c r="B17" s="416" t="s">
        <v>539</v>
      </c>
      <c r="C17" s="418">
        <v>1.0795962091531779</v>
      </c>
      <c r="D17" s="418">
        <v>1.0930259778866696</v>
      </c>
      <c r="E17" s="418">
        <v>1.0895302300093026</v>
      </c>
      <c r="F17" s="418">
        <v>1.0866086631243166</v>
      </c>
      <c r="G17" s="418">
        <v>1.1209916671690257</v>
      </c>
      <c r="H17" s="418">
        <v>1.1030039151713373</v>
      </c>
      <c r="I17" s="418">
        <v>1.1000916074682263</v>
      </c>
      <c r="J17" s="418">
        <v>1.0952961727983348</v>
      </c>
      <c r="K17" s="418">
        <v>1.0956665347464323</v>
      </c>
      <c r="L17" s="418">
        <v>1.0882319177462711</v>
      </c>
      <c r="M17" s="418">
        <v>1.0800714066932684</v>
      </c>
      <c r="N17" s="418">
        <v>1.0887760318249184</v>
      </c>
      <c r="O17" s="418">
        <v>1.0873922299063477</v>
      </c>
    </row>
    <row r="18" spans="1:15" ht="17.25" customHeight="1">
      <c r="A18" s="415">
        <v>9</v>
      </c>
      <c r="B18" s="416" t="s">
        <v>540</v>
      </c>
      <c r="C18" s="417">
        <v>2662.12009981554</v>
      </c>
      <c r="D18" s="417">
        <v>2629.6858333672249</v>
      </c>
      <c r="E18" s="417">
        <v>2643.0626921624071</v>
      </c>
      <c r="F18" s="417">
        <v>2641.3145852621587</v>
      </c>
      <c r="G18" s="417">
        <v>2616.4662515987329</v>
      </c>
      <c r="H18" s="417">
        <v>2631.8834668206782</v>
      </c>
      <c r="I18" s="417">
        <v>2623.1339048369523</v>
      </c>
      <c r="J18" s="417">
        <v>2626.2480184634119</v>
      </c>
      <c r="K18" s="417">
        <v>2619.4706990897721</v>
      </c>
      <c r="L18" s="417">
        <v>2626.98</v>
      </c>
      <c r="M18" s="417">
        <v>2627.8976476043617</v>
      </c>
      <c r="N18" s="417">
        <v>2621.4430207075334</v>
      </c>
      <c r="O18" s="417">
        <v>2627.6718808020792</v>
      </c>
    </row>
    <row r="19" spans="1:15" ht="21.75" customHeight="1">
      <c r="A19" s="415">
        <v>10</v>
      </c>
      <c r="B19" s="416" t="s">
        <v>541</v>
      </c>
      <c r="C19" s="417">
        <v>2874.0147680713367</v>
      </c>
      <c r="D19" s="417">
        <v>2874.3149295509324</v>
      </c>
      <c r="E19" s="417">
        <v>2879.696702920714</v>
      </c>
      <c r="F19" s="417">
        <v>2870.0753103824732</v>
      </c>
      <c r="G19" s="417">
        <v>2933.0368654711551</v>
      </c>
      <c r="H19" s="417">
        <v>2902.9777681779206</v>
      </c>
      <c r="I19" s="417">
        <v>2885.6875939764882</v>
      </c>
      <c r="J19" s="417">
        <v>2876.5194034421856</v>
      </c>
      <c r="K19" s="417">
        <v>2870.066383741505</v>
      </c>
      <c r="L19" s="417">
        <v>2858.7634832810995</v>
      </c>
      <c r="M19" s="417">
        <v>2838.3171088939739</v>
      </c>
      <c r="N19" s="417">
        <v>2854.1643297410756</v>
      </c>
      <c r="O19" s="417">
        <v>2857.3099859275794</v>
      </c>
    </row>
    <row r="20" spans="1:15" ht="33.75" customHeight="1">
      <c r="A20" s="415">
        <v>11</v>
      </c>
      <c r="B20" s="416" t="s">
        <v>542</v>
      </c>
      <c r="C20" s="422">
        <v>0.77655249293344908</v>
      </c>
      <c r="D20" s="422">
        <v>1.0482533559799025</v>
      </c>
      <c r="E20" s="422">
        <v>1.0127018583165448</v>
      </c>
      <c r="F20" s="422">
        <v>1.1890993664763589</v>
      </c>
      <c r="G20" s="422">
        <v>1.2915192381844047</v>
      </c>
      <c r="H20" s="422">
        <v>1.6102654442825894</v>
      </c>
      <c r="I20" s="422">
        <v>1.6720968730998242</v>
      </c>
      <c r="J20" s="422">
        <v>1.7491112673690521</v>
      </c>
      <c r="K20" s="422">
        <v>1.8532751680279929</v>
      </c>
      <c r="L20" s="422">
        <v>1.9516254406200277</v>
      </c>
      <c r="M20" s="422">
        <v>2.1298394193937975</v>
      </c>
      <c r="N20" s="422">
        <v>2.571492474469494</v>
      </c>
      <c r="O20" s="422">
        <v>2.9066197556099205</v>
      </c>
    </row>
    <row r="21" spans="1:15" ht="20.25" customHeight="1">
      <c r="A21" s="415">
        <v>12</v>
      </c>
      <c r="B21" s="420" t="s">
        <v>543</v>
      </c>
      <c r="C21" s="422">
        <v>4775.0944469999995</v>
      </c>
      <c r="D21" s="422">
        <v>3551.8633999999997</v>
      </c>
      <c r="E21" s="422">
        <v>4801.0148999999992</v>
      </c>
      <c r="F21" s="422">
        <v>4870.2283999999991</v>
      </c>
      <c r="G21" s="422">
        <v>5064.0320000000011</v>
      </c>
      <c r="H21" s="422">
        <v>5700.2918</v>
      </c>
      <c r="I21" s="422">
        <v>3716.4172999999992</v>
      </c>
      <c r="J21" s="422">
        <v>3078.5115000000001</v>
      </c>
      <c r="K21" s="422">
        <v>2300.1202999999996</v>
      </c>
      <c r="L21" s="422">
        <v>1724.6177000000002</v>
      </c>
      <c r="M21" s="422">
        <v>1984.2138</v>
      </c>
      <c r="N21" s="422">
        <v>3686.6610000000001</v>
      </c>
      <c r="O21" s="422">
        <v>2352.9605000000001</v>
      </c>
    </row>
    <row r="22" spans="1:15" ht="20.25" customHeight="1">
      <c r="A22" s="415">
        <v>13</v>
      </c>
      <c r="B22" s="416" t="s">
        <v>544</v>
      </c>
      <c r="C22" s="422">
        <v>639.09400000000005</v>
      </c>
      <c r="D22" s="422">
        <v>530.90114770000002</v>
      </c>
      <c r="E22" s="422">
        <v>997.1137859087172</v>
      </c>
      <c r="F22" s="423">
        <v>1110.034581867397</v>
      </c>
      <c r="G22" s="423">
        <v>1451.7530626232929</v>
      </c>
      <c r="H22" s="423">
        <v>1413.07</v>
      </c>
      <c r="I22" s="423">
        <v>1109.13744</v>
      </c>
      <c r="J22" s="423">
        <v>1169.6961700789752</v>
      </c>
      <c r="K22" s="423">
        <v>1147.52</v>
      </c>
      <c r="L22" s="423">
        <v>836</v>
      </c>
      <c r="M22" s="423">
        <v>921.81137859747992</v>
      </c>
      <c r="N22" s="423">
        <v>962.27045184637097</v>
      </c>
      <c r="O22" s="423">
        <v>567.59492585229634</v>
      </c>
    </row>
    <row r="23" spans="1:15">
      <c r="A23" s="415">
        <v>14</v>
      </c>
      <c r="B23" s="420" t="s">
        <v>545</v>
      </c>
      <c r="C23" s="417">
        <v>9833.3430000000008</v>
      </c>
      <c r="D23" s="417">
        <v>9695.2330000000002</v>
      </c>
      <c r="E23" s="417">
        <v>9775.9220000000005</v>
      </c>
      <c r="F23" s="417">
        <v>10127.508</v>
      </c>
      <c r="G23" s="417">
        <v>10196.548000000001</v>
      </c>
      <c r="H23" s="417">
        <v>10111.255999999999</v>
      </c>
      <c r="I23" s="417">
        <v>9937.99</v>
      </c>
      <c r="J23" s="417">
        <v>9990.9169999999995</v>
      </c>
      <c r="K23" s="417">
        <v>9971.5630000000001</v>
      </c>
      <c r="L23" s="417">
        <v>10025.384</v>
      </c>
      <c r="M23" s="417">
        <v>10163.409</v>
      </c>
      <c r="N23" s="417">
        <v>10132.853999999999</v>
      </c>
      <c r="O23" s="417">
        <v>10175.206</v>
      </c>
    </row>
    <row r="24" spans="1:15">
      <c r="A24" s="415">
        <v>15</v>
      </c>
      <c r="B24" s="420" t="s">
        <v>546</v>
      </c>
      <c r="C24" s="418">
        <v>1.2094679613119643</v>
      </c>
      <c r="D24" s="418">
        <v>0.92114223923596672</v>
      </c>
      <c r="E24" s="418">
        <v>1.5307497821916569</v>
      </c>
      <c r="F24" s="418">
        <v>1.0742464020261902</v>
      </c>
      <c r="G24" s="418">
        <v>1.3582129699346281</v>
      </c>
      <c r="H24" s="418">
        <v>1.3205</v>
      </c>
      <c r="I24" s="418">
        <v>0.80851585167028861</v>
      </c>
      <c r="J24" s="418">
        <v>0.65045464012762599</v>
      </c>
      <c r="K24" s="418">
        <v>0.48160863998567871</v>
      </c>
      <c r="L24" s="418">
        <v>0.36031661132349674</v>
      </c>
      <c r="M24" s="418">
        <v>0.41371501567580565</v>
      </c>
      <c r="N24" s="418">
        <v>0.79134536555490831</v>
      </c>
      <c r="O24" s="418">
        <v>0.48294276427918348</v>
      </c>
    </row>
    <row r="25" spans="1:15" ht="33" customHeight="1">
      <c r="A25" s="415">
        <v>16</v>
      </c>
      <c r="B25" s="420" t="s">
        <v>547</v>
      </c>
      <c r="C25" s="422">
        <v>4.0151708438029982E-2</v>
      </c>
      <c r="D25" s="422">
        <v>4.4841348434176836E-2</v>
      </c>
      <c r="E25" s="422">
        <v>6.2306437701873246E-2</v>
      </c>
      <c r="F25" s="423">
        <v>6.8376746881156372E-2</v>
      </c>
      <c r="G25" s="423">
        <v>8.6003784886625467E-2</v>
      </c>
      <c r="H25" s="423">
        <v>4.9578865418784347E-2</v>
      </c>
      <c r="I25" s="423">
        <v>5.968853067173055E-2</v>
      </c>
      <c r="J25" s="423">
        <v>7.5991021640099451E-2</v>
      </c>
      <c r="K25" s="423">
        <v>9.9779128943820905E-2</v>
      </c>
      <c r="L25" s="423">
        <v>9.6949022383337469E-2</v>
      </c>
      <c r="M25" s="423">
        <v>9.2914521469156186E-2</v>
      </c>
      <c r="N25" s="423">
        <v>5.2202817229269026E-2</v>
      </c>
      <c r="O25" s="423">
        <v>4.8245172483966162E-2</v>
      </c>
    </row>
    <row r="26" spans="1:15">
      <c r="A26" s="415">
        <v>17</v>
      </c>
      <c r="B26" s="420" t="s">
        <v>548</v>
      </c>
      <c r="C26" s="418">
        <v>3.6868034380804602</v>
      </c>
      <c r="D26" s="418">
        <v>2.4007474606869437</v>
      </c>
      <c r="E26" s="418">
        <v>2.3798790437808748</v>
      </c>
      <c r="F26" s="418">
        <v>5.9246896175268375</v>
      </c>
      <c r="G26" s="418">
        <v>6.1097313992891031</v>
      </c>
      <c r="H26" s="418">
        <v>13.351913547999999</v>
      </c>
      <c r="I26" s="418">
        <v>8.0350224487408113</v>
      </c>
      <c r="J26" s="418">
        <v>6.4986383217799801</v>
      </c>
      <c r="K26" s="418">
        <v>4.8023908949615146</v>
      </c>
      <c r="L26" s="418">
        <v>3.612312390096803</v>
      </c>
      <c r="M26" s="418">
        <v>4.2047549137546243</v>
      </c>
      <c r="N26" s="418">
        <v>8.0185870527445147</v>
      </c>
      <c r="O26" s="418">
        <v>4.914042112750133</v>
      </c>
    </row>
    <row r="27" spans="1:15">
      <c r="A27" s="415">
        <v>18</v>
      </c>
      <c r="B27" s="416" t="s">
        <v>549</v>
      </c>
      <c r="C27" s="417">
        <v>2877.7015715094171</v>
      </c>
      <c r="D27" s="417">
        <v>2876.7156770116194</v>
      </c>
      <c r="E27" s="417">
        <v>2882.0765819644948</v>
      </c>
      <c r="F27" s="417">
        <v>2876</v>
      </c>
      <c r="G27" s="417">
        <v>2939.1465968704442</v>
      </c>
      <c r="H27" s="417">
        <v>2916.3277540986523</v>
      </c>
      <c r="I27" s="417">
        <v>2893.7277409151811</v>
      </c>
      <c r="J27" s="417">
        <v>2883.0180418555283</v>
      </c>
      <c r="K27" s="417">
        <v>2874.8687744119093</v>
      </c>
      <c r="L27" s="417">
        <v>2862.3789798176354</v>
      </c>
      <c r="M27" s="417">
        <v>2842.5218638805964</v>
      </c>
      <c r="N27" s="417">
        <v>2862.1829169431453</v>
      </c>
      <c r="O27" s="417">
        <v>2862.2240278102936</v>
      </c>
    </row>
    <row r="28" spans="1:15">
      <c r="A28" s="415">
        <v>19</v>
      </c>
      <c r="B28" s="416" t="s">
        <v>550</v>
      </c>
      <c r="C28" s="417">
        <v>9.8456915055562888</v>
      </c>
      <c r="D28" s="417">
        <v>9.6770035566303978</v>
      </c>
      <c r="E28" s="417">
        <v>9.398980016855349</v>
      </c>
      <c r="F28" s="417">
        <v>9.8046124340563026</v>
      </c>
      <c r="G28" s="417">
        <v>9.6668442381223034</v>
      </c>
      <c r="H28" s="417">
        <v>9.6074145758769323</v>
      </c>
      <c r="I28" s="417">
        <v>9.8791321680823501</v>
      </c>
      <c r="J28" s="417">
        <v>9.6008535222705369</v>
      </c>
      <c r="K28" s="417">
        <v>9.6749924153747209</v>
      </c>
      <c r="L28" s="417">
        <v>9.5428534759042538</v>
      </c>
      <c r="M28" s="417">
        <v>9.5800067431200375</v>
      </c>
      <c r="N28" s="417">
        <v>9.7181837734765466</v>
      </c>
      <c r="O28" s="417">
        <v>9.7844286286232549</v>
      </c>
    </row>
    <row r="29" spans="1:15" ht="18" customHeight="1">
      <c r="A29" s="415">
        <v>20</v>
      </c>
      <c r="B29" s="416" t="s">
        <v>551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</row>
    <row r="30" spans="1:15">
      <c r="A30" s="415">
        <v>21</v>
      </c>
      <c r="B30" s="416" t="s">
        <v>552</v>
      </c>
      <c r="C30" s="422">
        <v>138.63999999999999</v>
      </c>
      <c r="D30" s="422">
        <v>133.19999999999999</v>
      </c>
      <c r="E30" s="422">
        <v>128.96</v>
      </c>
      <c r="F30" s="422">
        <v>134.03</v>
      </c>
      <c r="G30" s="422">
        <v>124.95</v>
      </c>
      <c r="H30" s="422">
        <v>124.82</v>
      </c>
      <c r="I30" s="422">
        <v>111.25</v>
      </c>
      <c r="J30" s="422">
        <v>97.62</v>
      </c>
      <c r="K30" s="422">
        <v>84.26</v>
      </c>
      <c r="L30" s="422">
        <v>66.84</v>
      </c>
      <c r="M30" s="422">
        <v>37.200000000000003</v>
      </c>
      <c r="N30" s="422">
        <v>37.200000000000003</v>
      </c>
      <c r="O30" s="422">
        <v>37.200000000000003</v>
      </c>
    </row>
    <row r="31" spans="1:15" ht="31.5">
      <c r="A31" s="415">
        <v>22</v>
      </c>
      <c r="B31" s="416" t="s">
        <v>553</v>
      </c>
      <c r="C31" s="422">
        <v>168.05</v>
      </c>
      <c r="D31" s="422">
        <v>169.42</v>
      </c>
      <c r="E31" s="422">
        <v>171.11</v>
      </c>
      <c r="F31" s="422">
        <v>173.2</v>
      </c>
      <c r="G31" s="422">
        <v>174.56</v>
      </c>
      <c r="H31" s="422">
        <v>205.51</v>
      </c>
      <c r="I31" s="422">
        <v>207.93</v>
      </c>
      <c r="J31" s="422">
        <v>210.95</v>
      </c>
      <c r="K31" s="422">
        <v>214.79</v>
      </c>
      <c r="L31" s="422">
        <v>217.69</v>
      </c>
      <c r="M31" s="422">
        <v>302.2</v>
      </c>
      <c r="N31" s="422">
        <v>307.19</v>
      </c>
      <c r="O31" s="422">
        <v>311.19</v>
      </c>
    </row>
    <row r="32" spans="1:15" ht="31.5">
      <c r="A32" s="415">
        <v>23</v>
      </c>
      <c r="B32" s="416" t="s">
        <v>554</v>
      </c>
      <c r="C32" s="422">
        <v>582.51</v>
      </c>
      <c r="D32" s="422">
        <v>585.29</v>
      </c>
      <c r="E32" s="422">
        <v>589.65</v>
      </c>
      <c r="F32" s="422">
        <v>604.08000000000004</v>
      </c>
      <c r="G32" s="422">
        <v>605.84</v>
      </c>
      <c r="H32" s="422">
        <v>617.35599999999999</v>
      </c>
      <c r="I32" s="422">
        <v>617.404</v>
      </c>
      <c r="J32" s="422">
        <v>617.404</v>
      </c>
      <c r="K32" s="422">
        <v>617.74199999999996</v>
      </c>
      <c r="L32" s="422">
        <v>611.55190000000005</v>
      </c>
      <c r="M32" s="422">
        <v>320.23</v>
      </c>
      <c r="N32" s="422">
        <v>320.23</v>
      </c>
      <c r="O32" s="422">
        <v>320.23</v>
      </c>
    </row>
    <row r="33" spans="1:15" ht="31.5">
      <c r="A33" s="415">
        <v>24</v>
      </c>
      <c r="B33" s="416" t="s">
        <v>555</v>
      </c>
      <c r="C33" s="422">
        <v>110.02</v>
      </c>
      <c r="D33" s="422">
        <v>112.52</v>
      </c>
      <c r="E33" s="422">
        <v>116.66</v>
      </c>
      <c r="F33" s="422">
        <v>120.7</v>
      </c>
      <c r="G33" s="422">
        <v>124.35</v>
      </c>
      <c r="H33" s="422">
        <v>200.41</v>
      </c>
      <c r="I33" s="422">
        <v>203.79</v>
      </c>
      <c r="J33" s="422">
        <v>207.84</v>
      </c>
      <c r="K33" s="422">
        <v>220.67</v>
      </c>
      <c r="L33" s="422">
        <v>224.89</v>
      </c>
      <c r="M33" s="422">
        <v>242.54</v>
      </c>
      <c r="N33" s="422">
        <v>255.47</v>
      </c>
      <c r="O33" s="422">
        <v>269.04000000000002</v>
      </c>
    </row>
    <row r="34" spans="1:15" ht="31.5">
      <c r="A34" s="422"/>
      <c r="B34" s="416" t="s">
        <v>556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</row>
    <row r="35" spans="1:15">
      <c r="A35" s="422"/>
      <c r="B35" s="416" t="s">
        <v>557</v>
      </c>
      <c r="C35" s="422">
        <v>19.03</v>
      </c>
      <c r="D35" s="422">
        <v>18.350000000000001</v>
      </c>
      <c r="E35" s="422">
        <v>18.41</v>
      </c>
      <c r="F35" s="422">
        <v>18.13</v>
      </c>
      <c r="G35" s="422">
        <v>17.46</v>
      </c>
      <c r="H35" s="422">
        <v>27.715399999999999</v>
      </c>
      <c r="I35" s="422">
        <v>24.239100000000001</v>
      </c>
      <c r="J35" s="422">
        <v>20.865500000000001</v>
      </c>
      <c r="K35" s="422">
        <v>17.334599999999998</v>
      </c>
      <c r="L35" s="422">
        <v>12.2148</v>
      </c>
      <c r="M35" s="422">
        <v>7.29</v>
      </c>
      <c r="N35" s="422">
        <v>7.33</v>
      </c>
      <c r="O35" s="422">
        <v>7.33</v>
      </c>
    </row>
    <row r="36" spans="1:15">
      <c r="A36" s="422"/>
      <c r="B36" s="416" t="s">
        <v>558</v>
      </c>
      <c r="C36" s="422">
        <v>14</v>
      </c>
      <c r="D36" s="422">
        <v>14</v>
      </c>
      <c r="E36" s="422">
        <v>14</v>
      </c>
      <c r="F36" s="422">
        <v>14</v>
      </c>
      <c r="G36" s="422">
        <v>14</v>
      </c>
      <c r="H36" s="422">
        <v>23.481000000000002</v>
      </c>
      <c r="I36" s="422">
        <v>23.21</v>
      </c>
      <c r="J36" s="422">
        <v>22.943999999999999</v>
      </c>
      <c r="K36" s="422">
        <v>22.943999999999999</v>
      </c>
      <c r="L36" s="422">
        <v>23.481000000000002</v>
      </c>
      <c r="M36" s="422">
        <v>19.61</v>
      </c>
      <c r="N36" s="422">
        <v>19.704999999999998</v>
      </c>
      <c r="O36" s="422">
        <v>19.704999999999998</v>
      </c>
    </row>
    <row r="37" spans="1:15">
      <c r="A37" s="422"/>
      <c r="B37" s="416" t="s">
        <v>559</v>
      </c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</row>
    <row r="38" spans="1:15">
      <c r="A38" s="422"/>
      <c r="B38" s="416" t="s">
        <v>557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</row>
    <row r="39" spans="1:15">
      <c r="A39" s="422"/>
      <c r="B39" s="416" t="s">
        <v>560</v>
      </c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</row>
    <row r="40" spans="1:15" ht="31.5">
      <c r="A40" s="422"/>
      <c r="B40" s="416" t="s">
        <v>561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</row>
    <row r="41" spans="1:15">
      <c r="A41" s="422"/>
      <c r="B41" s="416" t="s">
        <v>557</v>
      </c>
      <c r="C41" s="422">
        <v>8.25</v>
      </c>
      <c r="D41" s="422">
        <v>8.64</v>
      </c>
      <c r="E41" s="422">
        <v>9.83</v>
      </c>
      <c r="F41" s="422">
        <v>11.11</v>
      </c>
      <c r="G41" s="422">
        <v>12.33</v>
      </c>
      <c r="H41" s="422">
        <v>13.62</v>
      </c>
      <c r="I41" s="422">
        <v>13.63</v>
      </c>
      <c r="J41" s="422">
        <v>13.7</v>
      </c>
      <c r="K41" s="422">
        <v>11.22</v>
      </c>
      <c r="L41" s="422">
        <v>0</v>
      </c>
      <c r="M41" s="422">
        <v>0</v>
      </c>
      <c r="N41" s="422">
        <v>0</v>
      </c>
      <c r="O41" s="422">
        <v>0</v>
      </c>
    </row>
    <row r="42" spans="1:15">
      <c r="A42" s="422"/>
      <c r="B42" s="416" t="s">
        <v>558</v>
      </c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</row>
    <row r="43" spans="1:15">
      <c r="A43" s="422"/>
      <c r="B43" s="416" t="s">
        <v>562</v>
      </c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</row>
    <row r="44" spans="1:15">
      <c r="A44" s="422"/>
      <c r="B44" s="416" t="s">
        <v>557</v>
      </c>
      <c r="C44" s="422">
        <v>17.23</v>
      </c>
      <c r="D44" s="422">
        <v>17.37</v>
      </c>
      <c r="E44" s="422">
        <v>17.54</v>
      </c>
      <c r="F44" s="422">
        <v>17.75</v>
      </c>
      <c r="G44" s="422">
        <v>17.89</v>
      </c>
      <c r="H44" s="422">
        <v>25.18</v>
      </c>
      <c r="I44" s="422">
        <v>25.48</v>
      </c>
      <c r="J44" s="422">
        <v>25.84</v>
      </c>
      <c r="K44" s="422">
        <v>26.31</v>
      </c>
      <c r="L44" s="422">
        <v>26.67</v>
      </c>
      <c r="M44" s="422">
        <v>40.799999999999997</v>
      </c>
      <c r="N44" s="422">
        <v>41.47</v>
      </c>
      <c r="O44" s="422">
        <v>42.01</v>
      </c>
    </row>
    <row r="45" spans="1:15">
      <c r="A45" s="422"/>
      <c r="B45" s="416" t="s">
        <v>558</v>
      </c>
      <c r="C45" s="422">
        <v>10.25</v>
      </c>
      <c r="D45" s="422">
        <v>10.25</v>
      </c>
      <c r="E45" s="422">
        <v>10.25</v>
      </c>
      <c r="F45" s="422">
        <v>10.25</v>
      </c>
      <c r="G45" s="422">
        <v>10.25</v>
      </c>
      <c r="H45" s="422">
        <v>12.25</v>
      </c>
      <c r="I45" s="422">
        <v>12.25</v>
      </c>
      <c r="J45" s="422">
        <v>12.25</v>
      </c>
      <c r="K45" s="422">
        <v>12.25</v>
      </c>
      <c r="L45" s="422">
        <v>12.25</v>
      </c>
      <c r="M45" s="422">
        <v>13.5</v>
      </c>
      <c r="N45" s="422">
        <v>13.5</v>
      </c>
      <c r="O45" s="422">
        <v>13.5</v>
      </c>
    </row>
    <row r="46" spans="1:15" ht="31.5">
      <c r="A46" s="422"/>
      <c r="B46" s="416" t="s">
        <v>563</v>
      </c>
      <c r="C46" s="422"/>
      <c r="D46" s="422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</row>
    <row r="47" spans="1:15">
      <c r="A47" s="422"/>
      <c r="B47" s="416" t="s">
        <v>557</v>
      </c>
      <c r="C47" s="422">
        <v>65.52</v>
      </c>
      <c r="D47" s="422">
        <v>68.17</v>
      </c>
      <c r="E47" s="422">
        <v>70.900000000000006</v>
      </c>
      <c r="F47" s="422">
        <v>73.709999999999994</v>
      </c>
      <c r="G47" s="422">
        <v>76.67</v>
      </c>
      <c r="H47" s="422">
        <v>114.66</v>
      </c>
      <c r="I47" s="422">
        <v>121.21</v>
      </c>
      <c r="J47" s="422">
        <v>128.13999999999999</v>
      </c>
      <c r="K47" s="422">
        <v>135.51</v>
      </c>
      <c r="L47" s="422">
        <v>143.26</v>
      </c>
      <c r="M47" s="422">
        <v>150.80000000000001</v>
      </c>
      <c r="N47" s="422">
        <v>160.25</v>
      </c>
      <c r="O47" s="422">
        <v>170.33</v>
      </c>
    </row>
    <row r="48" spans="1:15">
      <c r="A48" s="422"/>
      <c r="B48" s="416" t="s">
        <v>558</v>
      </c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</row>
    <row r="49" spans="1:15" ht="20.25" customHeight="1">
      <c r="A49" s="422"/>
      <c r="B49" s="416" t="s">
        <v>564</v>
      </c>
      <c r="C49" s="423"/>
      <c r="D49" s="423"/>
      <c r="E49" s="423"/>
      <c r="F49" s="423"/>
      <c r="G49" s="423"/>
      <c r="H49" s="423">
        <v>4.09</v>
      </c>
      <c r="I49" s="423">
        <v>4.09</v>
      </c>
      <c r="J49" s="423">
        <v>4.09</v>
      </c>
      <c r="K49" s="423">
        <v>2.73</v>
      </c>
      <c r="L49" s="423">
        <v>1.36</v>
      </c>
      <c r="M49" s="422"/>
      <c r="N49" s="422"/>
      <c r="O49" s="422"/>
    </row>
    <row r="50" spans="1:15">
      <c r="A50" s="415">
        <v>25</v>
      </c>
      <c r="B50" s="416" t="s">
        <v>565</v>
      </c>
      <c r="C50" s="422">
        <v>0.29499999999999998</v>
      </c>
      <c r="D50" s="422">
        <v>0.30199999999999999</v>
      </c>
      <c r="E50" s="422">
        <v>0.313</v>
      </c>
      <c r="F50" s="422">
        <v>0.32300000000000001</v>
      </c>
      <c r="G50" s="422">
        <v>0.33400000000000002</v>
      </c>
      <c r="H50" s="422">
        <v>0.53800000000000003</v>
      </c>
      <c r="I50" s="422">
        <v>0.54700000000000004</v>
      </c>
      <c r="J50" s="422">
        <v>0.55600000000000005</v>
      </c>
      <c r="K50" s="422">
        <v>0.59199999999999997</v>
      </c>
      <c r="L50" s="422">
        <v>0.60399999999999998</v>
      </c>
      <c r="M50" s="422">
        <v>0.65100000000000002</v>
      </c>
      <c r="N50" s="422">
        <v>0.68400000000000005</v>
      </c>
      <c r="O50" s="422">
        <v>0.72199999999999998</v>
      </c>
    </row>
    <row r="51" spans="1:15">
      <c r="A51" s="415">
        <v>26</v>
      </c>
      <c r="B51" s="416" t="s">
        <v>566</v>
      </c>
      <c r="C51" s="422">
        <v>1.115</v>
      </c>
      <c r="D51" s="422">
        <v>1.1679999999999999</v>
      </c>
      <c r="E51" s="422">
        <v>1.157</v>
      </c>
      <c r="F51" s="422">
        <v>1.4197</v>
      </c>
      <c r="G51" s="422">
        <v>1.462</v>
      </c>
      <c r="H51" s="422">
        <v>1.7529999999999999</v>
      </c>
      <c r="I51" s="422">
        <v>1.8310999999999997</v>
      </c>
      <c r="J51" s="422">
        <v>2.024</v>
      </c>
      <c r="K51" s="422">
        <v>2.0979999999999999</v>
      </c>
      <c r="L51" s="422">
        <v>2.226</v>
      </c>
      <c r="M51" s="422">
        <v>2.359</v>
      </c>
      <c r="N51" s="422">
        <v>2.8559999999999999</v>
      </c>
      <c r="O51" s="422">
        <v>3.1059999999999999</v>
      </c>
    </row>
    <row r="52" spans="1:15">
      <c r="A52" s="415">
        <v>27</v>
      </c>
      <c r="B52" s="416" t="s">
        <v>567</v>
      </c>
      <c r="C52" s="422">
        <f>C50+C51</f>
        <v>1.41</v>
      </c>
      <c r="D52" s="422">
        <f t="shared" ref="D52:O52" si="0">D50+D51</f>
        <v>1.47</v>
      </c>
      <c r="E52" s="422">
        <f t="shared" si="0"/>
        <v>1.47</v>
      </c>
      <c r="F52" s="422">
        <f t="shared" si="0"/>
        <v>1.7426999999999999</v>
      </c>
      <c r="G52" s="422">
        <f t="shared" si="0"/>
        <v>1.796</v>
      </c>
      <c r="H52" s="422">
        <f t="shared" si="0"/>
        <v>2.2909999999999999</v>
      </c>
      <c r="I52" s="422">
        <f t="shared" si="0"/>
        <v>2.3780999999999999</v>
      </c>
      <c r="J52" s="422">
        <f t="shared" si="0"/>
        <v>2.58</v>
      </c>
      <c r="K52" s="422">
        <f t="shared" si="0"/>
        <v>2.69</v>
      </c>
      <c r="L52" s="422">
        <f t="shared" si="0"/>
        <v>2.83</v>
      </c>
      <c r="M52" s="422">
        <f t="shared" si="0"/>
        <v>3.01</v>
      </c>
      <c r="N52" s="422">
        <f t="shared" si="0"/>
        <v>3.54</v>
      </c>
      <c r="O52" s="422">
        <f t="shared" si="0"/>
        <v>3.8279999999999998</v>
      </c>
    </row>
    <row r="53" spans="1:15" ht="33.75" customHeight="1">
      <c r="A53" s="415">
        <v>28</v>
      </c>
      <c r="B53" s="416" t="s">
        <v>568</v>
      </c>
      <c r="C53" s="422">
        <v>474.35469999999992</v>
      </c>
      <c r="D53" s="422">
        <v>788.27460000000008</v>
      </c>
      <c r="E53" s="422">
        <v>238.16190000000003</v>
      </c>
      <c r="F53" s="422">
        <v>58.709708827914923</v>
      </c>
      <c r="G53" s="422">
        <v>655.75577232708849</v>
      </c>
      <c r="H53" s="422">
        <v>834.03323445266608</v>
      </c>
      <c r="I53" s="422">
        <v>844.88223432086613</v>
      </c>
      <c r="J53" s="422">
        <v>964.61473955864892</v>
      </c>
      <c r="K53" s="422">
        <v>1101.1904850974863</v>
      </c>
      <c r="L53" s="422">
        <v>1163.0543338183595</v>
      </c>
      <c r="M53" s="422">
        <v>1215.7059697411719</v>
      </c>
      <c r="N53" s="422">
        <v>1365.1583856055786</v>
      </c>
      <c r="O53" s="422">
        <v>1610.4012652901501</v>
      </c>
    </row>
    <row r="54" spans="1:15" ht="31.5">
      <c r="A54" s="415">
        <v>29</v>
      </c>
      <c r="B54" s="416" t="s">
        <v>569</v>
      </c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</row>
    <row r="55" spans="1:15">
      <c r="A55" s="415">
        <v>30</v>
      </c>
      <c r="B55" s="416" t="s">
        <v>570</v>
      </c>
      <c r="C55" s="422">
        <v>148.62857142857143</v>
      </c>
      <c r="D55" s="422">
        <v>1.5227662542857141</v>
      </c>
      <c r="E55" s="422">
        <v>-279.76610457428569</v>
      </c>
      <c r="F55" s="422">
        <v>31.124213554714284</v>
      </c>
      <c r="G55" s="422">
        <v>-47.78204953671429</v>
      </c>
      <c r="H55" s="422">
        <v>34.577482256571429</v>
      </c>
      <c r="I55" s="422">
        <v>82.317895153285718</v>
      </c>
      <c r="J55" s="422">
        <v>96.670089339428586</v>
      </c>
      <c r="K55" s="422">
        <v>95.882729534571411</v>
      </c>
      <c r="L55" s="422">
        <v>127.624172715</v>
      </c>
      <c r="M55" s="422">
        <v>97.297816023857138</v>
      </c>
      <c r="N55" s="422">
        <v>94.429919353714283</v>
      </c>
      <c r="O55" s="422">
        <v>109.70643115328571</v>
      </c>
    </row>
    <row r="56" spans="1:15">
      <c r="A56" s="415">
        <v>31</v>
      </c>
      <c r="B56" s="416" t="s">
        <v>571</v>
      </c>
      <c r="C56" s="418">
        <v>28.391504000000001</v>
      </c>
      <c r="D56" s="418">
        <v>29.605464999999999</v>
      </c>
      <c r="E56" s="418">
        <v>22.882340553999999</v>
      </c>
      <c r="F56" s="418">
        <v>65.984688497999997</v>
      </c>
      <c r="G56" s="418">
        <v>26.528531085999997</v>
      </c>
      <c r="H56" s="418">
        <v>28.402509342724901</v>
      </c>
      <c r="I56" s="418">
        <v>34.887654740999999</v>
      </c>
      <c r="J56" s="418">
        <v>41.643988100000009</v>
      </c>
      <c r="K56" s="418">
        <v>52.620531749999998</v>
      </c>
      <c r="L56" s="418">
        <v>18.756300399999997</v>
      </c>
      <c r="M56" s="418">
        <v>6.4028082189999989</v>
      </c>
      <c r="N56" s="418">
        <v>13.017355731</v>
      </c>
      <c r="O56" s="418">
        <v>92.632324126</v>
      </c>
    </row>
    <row r="57" spans="1:15">
      <c r="A57" s="415">
        <v>32</v>
      </c>
      <c r="B57" s="416" t="s">
        <v>572</v>
      </c>
      <c r="C57" s="417">
        <v>296.61555442783163</v>
      </c>
      <c r="D57" s="417">
        <v>304.45497478252747</v>
      </c>
      <c r="E57" s="417">
        <v>420.73748431810014</v>
      </c>
      <c r="F57" s="417">
        <v>311.24510651622597</v>
      </c>
      <c r="G57" s="417">
        <v>290.20435677506703</v>
      </c>
      <c r="H57" s="417">
        <v>372.16152532337821</v>
      </c>
      <c r="I57" s="417">
        <v>350.15821082152058</v>
      </c>
      <c r="J57" s="417">
        <v>328.85128225747422</v>
      </c>
      <c r="K57" s="417">
        <v>340.03857487641216</v>
      </c>
      <c r="L57" s="417">
        <v>574.40436803571356</v>
      </c>
      <c r="M57" s="417">
        <v>761.10427188979668</v>
      </c>
      <c r="N57" s="417">
        <v>325.47925919471822</v>
      </c>
      <c r="O57" s="417">
        <v>173.108</v>
      </c>
    </row>
    <row r="58" spans="1:15">
      <c r="A58" s="415">
        <v>33</v>
      </c>
      <c r="B58" s="416" t="s">
        <v>573</v>
      </c>
      <c r="C58" s="418">
        <v>8.4213617000000003</v>
      </c>
      <c r="D58" s="418">
        <v>9.0135310999999998</v>
      </c>
      <c r="E58" s="418">
        <v>9.6274584000000001</v>
      </c>
      <c r="F58" s="418">
        <v>20.5374114</v>
      </c>
      <c r="G58" s="418">
        <v>7.6986952999999998</v>
      </c>
      <c r="H58" s="418">
        <v>10.5703212</v>
      </c>
      <c r="I58" s="418">
        <v>12.216198763867499</v>
      </c>
      <c r="J58" s="418">
        <v>13.694678885</v>
      </c>
      <c r="K58" s="418">
        <v>17.893010625509</v>
      </c>
      <c r="L58" s="424">
        <v>10.7661877</v>
      </c>
      <c r="M58" s="418">
        <v>4.8732046875720005</v>
      </c>
      <c r="N58" s="418">
        <v>4.2368793</v>
      </c>
      <c r="O58" s="418">
        <v>16.0354034</v>
      </c>
    </row>
    <row r="59" spans="1:15">
      <c r="A59" s="408" t="s">
        <v>574</v>
      </c>
    </row>
    <row r="60" spans="1:15">
      <c r="A60" s="408" t="s">
        <v>575</v>
      </c>
    </row>
    <row r="61" spans="1:15">
      <c r="A61" s="408" t="s">
        <v>576</v>
      </c>
    </row>
    <row r="62" spans="1:15">
      <c r="A62" s="408" t="s">
        <v>577</v>
      </c>
    </row>
    <row r="63" spans="1:15">
      <c r="C63" s="419"/>
      <c r="D63" s="419"/>
      <c r="E63" s="419"/>
      <c r="F63" s="425"/>
      <c r="G63" s="425"/>
      <c r="H63" s="425"/>
      <c r="I63" s="425"/>
      <c r="J63" s="425"/>
      <c r="K63" s="425"/>
      <c r="L63" s="425"/>
      <c r="M63" s="426"/>
      <c r="N63" s="426"/>
      <c r="O63" s="426"/>
    </row>
    <row r="65" spans="3:5">
      <c r="C65" s="419"/>
      <c r="D65" s="419"/>
      <c r="E65" s="419"/>
    </row>
    <row r="66" spans="3:5">
      <c r="C66" s="419"/>
      <c r="D66" s="419"/>
      <c r="E66" s="419"/>
    </row>
    <row r="67" spans="3:5">
      <c r="C67" s="419"/>
      <c r="D67" s="419"/>
      <c r="E67" s="419"/>
    </row>
    <row r="68" spans="3:5">
      <c r="C68" s="419"/>
      <c r="D68" s="419"/>
      <c r="E68" s="419"/>
    </row>
    <row r="69" spans="3:5">
      <c r="C69" s="419"/>
      <c r="D69" s="419"/>
      <c r="E69" s="419"/>
    </row>
    <row r="70" spans="3:5">
      <c r="C70" s="419"/>
      <c r="D70" s="419"/>
      <c r="E70" s="419"/>
    </row>
    <row r="71" spans="3:5">
      <c r="C71" s="419"/>
      <c r="D71" s="419"/>
      <c r="E71" s="419"/>
    </row>
    <row r="72" spans="3:5">
      <c r="C72" s="419"/>
      <c r="D72" s="419"/>
      <c r="E72" s="419"/>
    </row>
    <row r="73" spans="3:5">
      <c r="C73" s="419"/>
      <c r="D73" s="419"/>
      <c r="E73" s="419"/>
    </row>
    <row r="74" spans="3:5">
      <c r="C74" s="419"/>
      <c r="D74" s="419"/>
      <c r="E74" s="419"/>
    </row>
    <row r="75" spans="3:5">
      <c r="C75" s="419"/>
      <c r="D75" s="419"/>
      <c r="E75" s="419"/>
    </row>
    <row r="76" spans="3:5">
      <c r="C76" s="419"/>
      <c r="D76" s="419"/>
      <c r="E76" s="419"/>
    </row>
    <row r="77" spans="3:5">
      <c r="C77" s="419"/>
      <c r="D77" s="419"/>
      <c r="E77" s="419"/>
    </row>
  </sheetData>
  <mergeCells count="7">
    <mergeCell ref="A8:O8"/>
    <mergeCell ref="A2:O2"/>
    <mergeCell ref="A3:O3"/>
    <mergeCell ref="A4:O4"/>
    <mergeCell ref="A5:O5"/>
    <mergeCell ref="A6:O6"/>
    <mergeCell ref="A7:O7"/>
  </mergeCells>
  <printOptions horizontalCentered="1"/>
  <pageMargins left="0.19685039370078741" right="0.19685039370078741" top="0.23622047244094491" bottom="0.19685039370078741" header="0.15748031496062992" footer="0.23622047244094491"/>
  <pageSetup paperSize="9" scale="83" orientation="landscape" r:id="rId1"/>
  <rowBreaks count="1" manualBreakCount="1">
    <brk id="35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Y77"/>
  <sheetViews>
    <sheetView tabSelected="1" workbookViewId="0">
      <selection activeCell="Q5" sqref="Q5"/>
    </sheetView>
  </sheetViews>
  <sheetFormatPr defaultRowHeight="15.75"/>
  <cols>
    <col min="1" max="1" width="4" style="408" customWidth="1"/>
    <col min="2" max="2" width="40" style="408" customWidth="1"/>
    <col min="3" max="15" width="11.6640625" style="408" customWidth="1"/>
    <col min="16" max="16" width="2.6640625" style="408" customWidth="1"/>
    <col min="17" max="17" width="9.33203125" style="408"/>
    <col min="18" max="18" width="31.6640625" style="408" customWidth="1"/>
    <col min="19" max="31" width="14.5" style="408" customWidth="1"/>
    <col min="32" max="16384" width="9.33203125" style="408"/>
  </cols>
  <sheetData>
    <row r="1" spans="1:15" ht="15" customHeight="1">
      <c r="J1" s="409"/>
      <c r="K1" s="409"/>
      <c r="L1" s="409"/>
      <c r="M1" s="409"/>
      <c r="N1" s="427" t="s">
        <v>511</v>
      </c>
      <c r="O1" s="409"/>
    </row>
    <row r="2" spans="1:15" ht="14.25" customHeight="1">
      <c r="A2" s="410" t="s">
        <v>512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ht="14.25" customHeight="1">
      <c r="A3" s="411" t="s">
        <v>513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</row>
    <row r="4" spans="1:15" ht="14.25" customHeight="1">
      <c r="A4" s="411" t="s">
        <v>578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</row>
    <row r="5" spans="1:15" ht="14.25" customHeight="1">
      <c r="A5" s="411" t="s">
        <v>515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</row>
    <row r="6" spans="1:15" ht="14.25" customHeight="1">
      <c r="A6" s="411" t="s">
        <v>579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15" ht="14.25" customHeight="1">
      <c r="A7" s="411" t="s">
        <v>580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</row>
    <row r="8" spans="1:15" ht="14.25" customHeight="1">
      <c r="A8" s="412" t="s">
        <v>581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</row>
    <row r="9" spans="1:15">
      <c r="A9" s="413"/>
      <c r="B9" s="413"/>
      <c r="C9" s="428" t="s">
        <v>519</v>
      </c>
      <c r="D9" s="428" t="s">
        <v>520</v>
      </c>
      <c r="E9" s="428" t="s">
        <v>521</v>
      </c>
      <c r="F9" s="428" t="s">
        <v>522</v>
      </c>
      <c r="G9" s="428" t="s">
        <v>523</v>
      </c>
      <c r="H9" s="428" t="s">
        <v>524</v>
      </c>
      <c r="I9" s="428" t="s">
        <v>525</v>
      </c>
      <c r="J9" s="428" t="s">
        <v>526</v>
      </c>
      <c r="K9" s="428" t="s">
        <v>527</v>
      </c>
      <c r="L9" s="428" t="s">
        <v>528</v>
      </c>
      <c r="M9" s="428" t="s">
        <v>529</v>
      </c>
      <c r="N9" s="428" t="s">
        <v>530</v>
      </c>
      <c r="O9" s="428" t="s">
        <v>531</v>
      </c>
    </row>
    <row r="10" spans="1:15">
      <c r="A10" s="415">
        <v>1</v>
      </c>
      <c r="B10" s="416" t="s">
        <v>532</v>
      </c>
      <c r="C10" s="417">
        <v>72.753999999999991</v>
      </c>
      <c r="D10" s="417">
        <v>75.158000000000001</v>
      </c>
      <c r="E10" s="417">
        <v>73.686251854711003</v>
      </c>
      <c r="F10" s="417">
        <v>82.454000000000008</v>
      </c>
      <c r="G10" s="417">
        <v>70.791541571445009</v>
      </c>
      <c r="H10" s="417">
        <v>84.060793263960036</v>
      </c>
      <c r="I10" s="417">
        <v>82.901875940408402</v>
      </c>
      <c r="J10" s="417">
        <v>85.653144960205111</v>
      </c>
      <c r="K10" s="417">
        <v>87.690356352861812</v>
      </c>
      <c r="L10" s="417">
        <v>89.172011469669599</v>
      </c>
      <c r="M10" s="417">
        <v>87.1654826867249</v>
      </c>
      <c r="N10" s="417">
        <v>83.114050170380708</v>
      </c>
      <c r="O10" s="417">
        <v>90.274834059714834</v>
      </c>
    </row>
    <row r="11" spans="1:15">
      <c r="A11" s="415">
        <v>2</v>
      </c>
      <c r="B11" s="416" t="s">
        <v>533</v>
      </c>
      <c r="C11" s="417">
        <v>70.521000000000001</v>
      </c>
      <c r="D11" s="417">
        <v>70.665999999999997</v>
      </c>
      <c r="E11" s="417">
        <v>72.409655574743496</v>
      </c>
      <c r="F11" s="417">
        <v>80.007999999999996</v>
      </c>
      <c r="G11" s="417">
        <v>70.754073186190297</v>
      </c>
      <c r="H11" s="417">
        <v>83.545562592843083</v>
      </c>
      <c r="I11" s="417">
        <v>82.214896514510698</v>
      </c>
      <c r="J11" s="417">
        <v>85.164768721561231</v>
      </c>
      <c r="K11" s="417">
        <v>87.087792082818652</v>
      </c>
      <c r="L11" s="417">
        <v>86.814392128369093</v>
      </c>
      <c r="M11" s="417">
        <v>86.425532872534106</v>
      </c>
      <c r="N11" s="417">
        <v>79.959249441375405</v>
      </c>
      <c r="O11" s="417">
        <v>81.400218414407732</v>
      </c>
    </row>
    <row r="12" spans="1:15">
      <c r="A12" s="415">
        <v>3</v>
      </c>
      <c r="B12" s="416" t="s">
        <v>534</v>
      </c>
      <c r="C12" s="418">
        <v>4670.273561</v>
      </c>
      <c r="D12" s="418">
        <v>4679.8932750000004</v>
      </c>
      <c r="E12" s="418">
        <v>4510.0482009999996</v>
      </c>
      <c r="F12" s="418">
        <v>4996.9442090000002</v>
      </c>
      <c r="G12" s="418">
        <v>4406.9299570000003</v>
      </c>
      <c r="H12" s="418">
        <v>5203.6501369506977</v>
      </c>
      <c r="I12" s="418">
        <v>5120.7693680000002</v>
      </c>
      <c r="J12" s="418">
        <v>5319.0355609999997</v>
      </c>
      <c r="K12" s="418">
        <v>5424.2785270000004</v>
      </c>
      <c r="L12" s="418">
        <v>5407.2497670000002</v>
      </c>
      <c r="M12" s="418">
        <v>5383.0295960000003</v>
      </c>
      <c r="N12" s="418">
        <v>4993.92058</v>
      </c>
      <c r="O12" s="418">
        <v>5070.0269955000022</v>
      </c>
    </row>
    <row r="13" spans="1:15">
      <c r="A13" s="415">
        <v>4</v>
      </c>
      <c r="B13" s="416" t="s">
        <v>535</v>
      </c>
      <c r="C13" s="418">
        <v>4670.273561</v>
      </c>
      <c r="D13" s="418">
        <v>4679.8932750000004</v>
      </c>
      <c r="E13" s="418">
        <v>4510.0482009999996</v>
      </c>
      <c r="F13" s="418">
        <v>4996.9442090000002</v>
      </c>
      <c r="G13" s="418">
        <v>4406.9299570000003</v>
      </c>
      <c r="H13" s="418">
        <v>5203.6501369506977</v>
      </c>
      <c r="I13" s="418">
        <v>5120.7693680000002</v>
      </c>
      <c r="J13" s="418">
        <v>5319.0355609999997</v>
      </c>
      <c r="K13" s="418">
        <v>5424.2785270000004</v>
      </c>
      <c r="L13" s="418">
        <v>5407.2497670000002</v>
      </c>
      <c r="M13" s="418">
        <v>5383.0295960000003</v>
      </c>
      <c r="N13" s="418">
        <v>4993.92058</v>
      </c>
      <c r="O13" s="418">
        <v>5070.0269955000022</v>
      </c>
    </row>
    <row r="14" spans="1:15">
      <c r="A14" s="415">
        <v>5</v>
      </c>
      <c r="B14" s="420" t="s">
        <v>536</v>
      </c>
      <c r="C14" s="418">
        <v>4783.8218909999996</v>
      </c>
      <c r="D14" s="418">
        <v>4798.7723650000034</v>
      </c>
      <c r="E14" s="418">
        <v>4540.1894312329987</v>
      </c>
      <c r="F14" s="418">
        <v>5078.6956349590027</v>
      </c>
      <c r="G14" s="418">
        <v>4446.7146729489987</v>
      </c>
      <c r="H14" s="418">
        <v>5258.0760616779326</v>
      </c>
      <c r="I14" s="418">
        <v>5176.3518872219993</v>
      </c>
      <c r="J14" s="418">
        <v>5367.0573697520013</v>
      </c>
      <c r="K14" s="418">
        <v>5487.2682588610005</v>
      </c>
      <c r="L14" s="418">
        <v>5422.7322467789991</v>
      </c>
      <c r="M14" s="418">
        <v>5379.7317666239996</v>
      </c>
      <c r="N14" s="418">
        <v>4991.1484474080007</v>
      </c>
      <c r="O14" s="418">
        <v>5201.9065070229999</v>
      </c>
    </row>
    <row r="15" spans="1:15">
      <c r="A15" s="415">
        <v>6</v>
      </c>
      <c r="B15" s="420" t="s">
        <v>537</v>
      </c>
      <c r="C15" s="421">
        <v>5672699.1972354976</v>
      </c>
      <c r="D15" s="421">
        <v>5789266.0701704146</v>
      </c>
      <c r="E15" s="421">
        <v>5888958.9161859378</v>
      </c>
      <c r="F15" s="421">
        <v>6473483.3564047003</v>
      </c>
      <c r="G15" s="421">
        <v>5983038.3244611453</v>
      </c>
      <c r="H15" s="421">
        <v>6851400.7922553513</v>
      </c>
      <c r="I15" s="421">
        <v>6724211.6840665787</v>
      </c>
      <c r="J15" s="421">
        <v>6954891.2724472992</v>
      </c>
      <c r="K15" s="421">
        <v>7070642.8950593797</v>
      </c>
      <c r="L15" s="421">
        <v>6941217.3501477586</v>
      </c>
      <c r="M15" s="421">
        <v>6840685.8967845896</v>
      </c>
      <c r="N15" s="421">
        <v>6443118.3291054741</v>
      </c>
      <c r="O15" s="421">
        <v>6718857.2227835553</v>
      </c>
    </row>
    <row r="16" spans="1:15">
      <c r="A16" s="415">
        <v>7</v>
      </c>
      <c r="B16" s="416" t="s">
        <v>538</v>
      </c>
      <c r="C16" s="422">
        <v>53051.650162466096</v>
      </c>
      <c r="D16" s="422">
        <v>56377.609771140545</v>
      </c>
      <c r="E16" s="422">
        <v>52843.98393850289</v>
      </c>
      <c r="F16" s="422">
        <v>71461.430119687124</v>
      </c>
      <c r="G16" s="422">
        <v>70611.818305290435</v>
      </c>
      <c r="H16" s="422">
        <v>99770.098336822441</v>
      </c>
      <c r="I16" s="422">
        <v>101537.61369291056</v>
      </c>
      <c r="J16" s="422">
        <v>110165.47775556523</v>
      </c>
      <c r="K16" s="422">
        <v>118362.56206329401</v>
      </c>
      <c r="L16" s="422">
        <v>122713.08741152722</v>
      </c>
      <c r="M16" s="422">
        <v>132108.0101072937</v>
      </c>
      <c r="N16" s="422">
        <v>149769.64124822381</v>
      </c>
      <c r="O16" s="422">
        <v>176952.52701928368</v>
      </c>
    </row>
    <row r="17" spans="1:15">
      <c r="A17" s="415">
        <v>8</v>
      </c>
      <c r="B17" s="416" t="s">
        <v>539</v>
      </c>
      <c r="C17" s="418">
        <v>1.0702517307356993</v>
      </c>
      <c r="D17" s="418">
        <v>1.0885851947763345</v>
      </c>
      <c r="E17" s="418">
        <v>1.0902709984180383</v>
      </c>
      <c r="F17" s="418">
        <v>1.0816820470747073</v>
      </c>
      <c r="G17" s="418">
        <v>1.1216602211554172</v>
      </c>
      <c r="H17" s="418">
        <v>1.0974142066230865</v>
      </c>
      <c r="I17" s="418">
        <v>1.0946279087340058</v>
      </c>
      <c r="J17" s="418">
        <v>1.0944838183092862</v>
      </c>
      <c r="K17" s="418">
        <v>1.0941321937889728</v>
      </c>
      <c r="L17" s="418">
        <v>1.0857992591429528</v>
      </c>
      <c r="M17" s="418">
        <v>1.0797709818790673</v>
      </c>
      <c r="N17" s="418">
        <v>1.0875520948614881</v>
      </c>
      <c r="O17" s="418">
        <v>1.0872018829020818</v>
      </c>
    </row>
    <row r="18" spans="1:15" ht="31.5">
      <c r="A18" s="415">
        <v>9</v>
      </c>
      <c r="B18" s="416" t="s">
        <v>540</v>
      </c>
      <c r="C18" s="417">
        <v>2662.12009981554</v>
      </c>
      <c r="D18" s="417">
        <v>2629.6858333672249</v>
      </c>
      <c r="E18" s="417">
        <v>2643.0626921624071</v>
      </c>
      <c r="F18" s="417">
        <v>2641.3145852621587</v>
      </c>
      <c r="G18" s="417">
        <v>2616.4662515987329</v>
      </c>
      <c r="H18" s="417">
        <v>2631.8834668206782</v>
      </c>
      <c r="I18" s="417">
        <v>2623.1339048369523</v>
      </c>
      <c r="J18" s="417">
        <v>2626.2480184634119</v>
      </c>
      <c r="K18" s="417">
        <v>2619.4706990897721</v>
      </c>
      <c r="L18" s="417">
        <v>2626.98</v>
      </c>
      <c r="M18" s="417">
        <v>2627.8976476043617</v>
      </c>
      <c r="N18" s="417">
        <v>2621.4430207075334</v>
      </c>
      <c r="O18" s="417">
        <v>2627.6718808020792</v>
      </c>
    </row>
    <row r="19" spans="1:15" ht="17.25" customHeight="1">
      <c r="A19" s="415">
        <v>10</v>
      </c>
      <c r="B19" s="416" t="s">
        <v>541</v>
      </c>
      <c r="C19" s="417">
        <v>2849.1386442538742</v>
      </c>
      <c r="D19" s="417">
        <v>2862.637065116628</v>
      </c>
      <c r="E19" s="417">
        <v>2881.6546002653758</v>
      </c>
      <c r="F19" s="417">
        <v>2857.0625675546535</v>
      </c>
      <c r="G19" s="417">
        <v>2934.7861144139201</v>
      </c>
      <c r="H19" s="417">
        <v>2888.2663066654331</v>
      </c>
      <c r="I19" s="417">
        <v>2871.3555805809397</v>
      </c>
      <c r="J19" s="417">
        <v>2874.3859590750317</v>
      </c>
      <c r="K19" s="417">
        <v>2866.0472225610265</v>
      </c>
      <c r="L19" s="417">
        <v>2852.3729377833542</v>
      </c>
      <c r="M19" s="417">
        <v>2837.5276232314527</v>
      </c>
      <c r="N19" s="417">
        <v>2850.9558487305053</v>
      </c>
      <c r="O19" s="417">
        <v>2856.8098164568751</v>
      </c>
    </row>
    <row r="20" spans="1:15" ht="40.5" customHeight="1">
      <c r="A20" s="415">
        <v>11</v>
      </c>
      <c r="B20" s="416" t="s">
        <v>542</v>
      </c>
      <c r="C20" s="416">
        <v>1.0012127177074708</v>
      </c>
      <c r="D20" s="416">
        <v>1.0554171394862684</v>
      </c>
      <c r="E20" s="416">
        <v>0.9675967988135995</v>
      </c>
      <c r="F20" s="416">
        <v>1.1911279018238317</v>
      </c>
      <c r="G20" s="416">
        <v>1.2855392260247065</v>
      </c>
      <c r="H20" s="416">
        <v>1.6045467260377493</v>
      </c>
      <c r="I20" s="416">
        <v>1.6694103918694891</v>
      </c>
      <c r="J20" s="416">
        <v>1.7491112673690521</v>
      </c>
      <c r="K20" s="416">
        <v>1.8532751680279924</v>
      </c>
      <c r="L20" s="416">
        <v>1.9516254406200275</v>
      </c>
      <c r="M20" s="416">
        <v>2.1311747073199463</v>
      </c>
      <c r="N20" s="416">
        <v>2.5714924744694931</v>
      </c>
      <c r="O20" s="416">
        <v>2.9066197556099209</v>
      </c>
    </row>
    <row r="21" spans="1:15" ht="21" customHeight="1">
      <c r="A21" s="415">
        <v>12</v>
      </c>
      <c r="B21" s="420" t="s">
        <v>543</v>
      </c>
      <c r="C21" s="418">
        <v>5561.0201390000002</v>
      </c>
      <c r="D21" s="418">
        <v>5742.3292000000001</v>
      </c>
      <c r="E21" s="418">
        <v>4815.2183000000005</v>
      </c>
      <c r="F21" s="418">
        <v>6013.9980000000005</v>
      </c>
      <c r="G21" s="418">
        <v>7927.7124999999996</v>
      </c>
      <c r="H21" s="418">
        <v>3042.7186000000002</v>
      </c>
      <c r="I21" s="418">
        <v>3548.6530000000002</v>
      </c>
      <c r="J21" s="418">
        <v>3725.0210999999999</v>
      </c>
      <c r="K21" s="418">
        <v>3162.9468000000002</v>
      </c>
      <c r="L21" s="418">
        <v>2368.6861999999996</v>
      </c>
      <c r="M21" s="418">
        <v>4051.4985000000001</v>
      </c>
      <c r="N21" s="418">
        <v>7088.2732000000005</v>
      </c>
      <c r="O21" s="418">
        <v>5058.2732999999998</v>
      </c>
    </row>
    <row r="22" spans="1:15">
      <c r="A22" s="415">
        <v>13</v>
      </c>
      <c r="B22" s="416" t="s">
        <v>544</v>
      </c>
      <c r="C22" s="422">
        <v>744.28</v>
      </c>
      <c r="D22" s="422">
        <v>858.31261489999997</v>
      </c>
      <c r="E22" s="422">
        <v>1000.2893405912827</v>
      </c>
      <c r="F22" s="423">
        <v>1370.7253966326023</v>
      </c>
      <c r="G22" s="423">
        <v>2272.710934976707</v>
      </c>
      <c r="H22" s="423">
        <v>754.27</v>
      </c>
      <c r="I22" s="423">
        <v>1059.06942</v>
      </c>
      <c r="J22" s="423">
        <v>1412.7262167210242</v>
      </c>
      <c r="K22" s="423">
        <v>1577.98</v>
      </c>
      <c r="L22" s="423">
        <v>1148.6435885963947</v>
      </c>
      <c r="M22" s="423">
        <v>1882.2152218025203</v>
      </c>
      <c r="N22" s="423">
        <v>1850.1391516536294</v>
      </c>
      <c r="O22" s="423">
        <v>1220.1863391477036</v>
      </c>
    </row>
    <row r="23" spans="1:15">
      <c r="A23" s="415">
        <v>14</v>
      </c>
      <c r="B23" s="420" t="s">
        <v>545</v>
      </c>
      <c r="C23" s="422">
        <v>9833.3430000000008</v>
      </c>
      <c r="D23" s="422">
        <v>9695.2330000000002</v>
      </c>
      <c r="E23" s="422">
        <v>9775.9220000000005</v>
      </c>
      <c r="F23" s="422">
        <v>10127.508</v>
      </c>
      <c r="G23" s="422">
        <v>10196.548000000001</v>
      </c>
      <c r="H23" s="417">
        <v>10111.255999999999</v>
      </c>
      <c r="I23" s="422">
        <v>9937.99</v>
      </c>
      <c r="J23" s="417">
        <v>9990.9169999999995</v>
      </c>
      <c r="K23" s="417">
        <v>9971.5630000000001</v>
      </c>
      <c r="L23" s="417">
        <v>10025.384</v>
      </c>
      <c r="M23" s="417">
        <v>10163.409</v>
      </c>
      <c r="N23" s="417">
        <v>10132.853999999999</v>
      </c>
      <c r="O23" s="417">
        <v>10175.206</v>
      </c>
    </row>
    <row r="24" spans="1:15">
      <c r="A24" s="415">
        <v>15</v>
      </c>
      <c r="B24" s="420" t="s">
        <v>546</v>
      </c>
      <c r="C24" s="418">
        <v>1.0491815662147737</v>
      </c>
      <c r="D24" s="418">
        <v>1.0797594159405814</v>
      </c>
      <c r="E24" s="418">
        <v>0.89148064000113159</v>
      </c>
      <c r="F24" s="418">
        <v>1.0049046718112098</v>
      </c>
      <c r="G24" s="418">
        <v>1.486234798071</v>
      </c>
      <c r="H24" s="418">
        <v>0.4874</v>
      </c>
      <c r="I24" s="418">
        <v>0.57768178557154948</v>
      </c>
      <c r="J24" s="418">
        <v>0.58620259571305189</v>
      </c>
      <c r="K24" s="418">
        <v>0.4894437425965843</v>
      </c>
      <c r="L24" s="418">
        <v>0.37052833694184589</v>
      </c>
      <c r="M24" s="418">
        <v>0.63951050807388432</v>
      </c>
      <c r="N24" s="418">
        <v>1.1964496031040299</v>
      </c>
      <c r="O24" s="418">
        <v>0.81849696661882554</v>
      </c>
    </row>
    <row r="25" spans="1:15" ht="29.25" customHeight="1">
      <c r="A25" s="415">
        <v>16</v>
      </c>
      <c r="B25" s="420" t="s">
        <v>547</v>
      </c>
      <c r="C25" s="416">
        <v>4.0151625856214145E-2</v>
      </c>
      <c r="D25" s="416">
        <v>4.4841348432270306E-2</v>
      </c>
      <c r="E25" s="416">
        <v>6.2320497946559306E-2</v>
      </c>
      <c r="F25" s="423">
        <v>6.8376746881156372E-2</v>
      </c>
      <c r="G25" s="423">
        <v>8.6003784886625523E-2</v>
      </c>
      <c r="H25" s="423">
        <v>4.9578689268209027E-2</v>
      </c>
      <c r="I25" s="423">
        <v>5.9688530831275975E-2</v>
      </c>
      <c r="J25" s="423">
        <v>7.5850642388094081E-2</v>
      </c>
      <c r="K25" s="423">
        <v>9.9779104726010551E-2</v>
      </c>
      <c r="L25" s="423">
        <v>9.6985712045470171E-2</v>
      </c>
      <c r="M25" s="423">
        <v>9.2914521469156186E-2</v>
      </c>
      <c r="N25" s="423">
        <v>5.2202817229269012E-2</v>
      </c>
      <c r="O25" s="423">
        <v>4.8245172483966169E-2</v>
      </c>
    </row>
    <row r="26" spans="1:15">
      <c r="A26" s="415">
        <v>17</v>
      </c>
      <c r="B26" s="420" t="s">
        <v>548</v>
      </c>
      <c r="C26" s="418">
        <v>4.5010000000000003</v>
      </c>
      <c r="D26" s="418">
        <v>4.2220000000000004</v>
      </c>
      <c r="E26" s="418">
        <v>3.484</v>
      </c>
      <c r="F26" s="418">
        <v>5.9370000000000003</v>
      </c>
      <c r="G26" s="418">
        <v>9.9019999999999992</v>
      </c>
      <c r="H26" s="418">
        <v>4.9282261743999998</v>
      </c>
      <c r="I26" s="418">
        <v>5.7409958081922028</v>
      </c>
      <c r="J26" s="418">
        <v>5.8567014789536573</v>
      </c>
      <c r="K26" s="418">
        <v>4.8805191142576243</v>
      </c>
      <c r="L26" s="418">
        <v>3.714688860723391</v>
      </c>
      <c r="M26" s="418">
        <v>6.499606853352689</v>
      </c>
      <c r="N26" s="418">
        <v>12.123449146611081</v>
      </c>
      <c r="O26" s="418">
        <v>8.3283752457216735</v>
      </c>
    </row>
    <row r="27" spans="1:15">
      <c r="A27" s="415">
        <v>18</v>
      </c>
      <c r="B27" s="416" t="s">
        <v>549</v>
      </c>
      <c r="C27" s="417">
        <v>2853.6391984431548</v>
      </c>
      <c r="D27" s="417">
        <v>2866.8592190749882</v>
      </c>
      <c r="E27" s="417">
        <v>2885.1388317741371</v>
      </c>
      <c r="F27" s="417">
        <v>2863</v>
      </c>
      <c r="G27" s="417">
        <v>2944.6878850327016</v>
      </c>
      <c r="H27" s="417">
        <v>2893.191984127533</v>
      </c>
      <c r="I27" s="417">
        <v>2877.0927415425258</v>
      </c>
      <c r="J27" s="417">
        <v>2880.2426606365029</v>
      </c>
      <c r="K27" s="417">
        <v>2870.9277414470739</v>
      </c>
      <c r="L27" s="417">
        <v>2856.0908036731703</v>
      </c>
      <c r="M27" s="417">
        <v>2844.0272301974423</v>
      </c>
      <c r="N27" s="417">
        <v>2863.079298102884</v>
      </c>
      <c r="O27" s="417">
        <v>2865.138191312727</v>
      </c>
    </row>
    <row r="28" spans="1:15">
      <c r="A28" s="415">
        <v>19</v>
      </c>
      <c r="B28" s="416" t="s">
        <v>550</v>
      </c>
      <c r="C28" s="417">
        <v>9.7351483757272419</v>
      </c>
      <c r="D28" s="417">
        <v>9.7497967984644571</v>
      </c>
      <c r="E28" s="417">
        <v>9.726080395466953</v>
      </c>
      <c r="F28" s="417">
        <v>9.7928623782682838</v>
      </c>
      <c r="G28" s="417">
        <v>9.9728350651213464</v>
      </c>
      <c r="H28" s="417">
        <v>9.5309360162534666</v>
      </c>
      <c r="I28" s="417">
        <v>9.5089717438791777</v>
      </c>
      <c r="J28" s="417">
        <v>9.6641188468562298</v>
      </c>
      <c r="K28" s="417">
        <v>9.6566401704891049</v>
      </c>
      <c r="L28" s="417">
        <v>9.6677834870130468</v>
      </c>
      <c r="M28" s="417">
        <v>9.6088484736548523</v>
      </c>
      <c r="N28" s="417">
        <v>9.8533999441778519</v>
      </c>
      <c r="O28" s="417">
        <v>9.5085273641446388</v>
      </c>
    </row>
    <row r="29" spans="1:15" ht="17.25" customHeight="1">
      <c r="A29" s="415">
        <v>20</v>
      </c>
      <c r="B29" s="416" t="s">
        <v>551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</row>
    <row r="30" spans="1:15">
      <c r="A30" s="415">
        <v>21</v>
      </c>
      <c r="B30" s="416" t="s">
        <v>552</v>
      </c>
      <c r="C30" s="422">
        <v>297.64999999999998</v>
      </c>
      <c r="D30" s="422">
        <v>287.37</v>
      </c>
      <c r="E30" s="422">
        <v>279.04000000000002</v>
      </c>
      <c r="F30" s="422">
        <v>272.55</v>
      </c>
      <c r="G30" s="422">
        <v>262.60000000000002</v>
      </c>
      <c r="H30" s="422">
        <v>264.685</v>
      </c>
      <c r="I30" s="422">
        <v>249.2593</v>
      </c>
      <c r="J30" s="422">
        <v>232.46440000000001</v>
      </c>
      <c r="K30" s="422">
        <v>210.2928</v>
      </c>
      <c r="L30" s="422">
        <v>191.91</v>
      </c>
      <c r="M30" s="422">
        <v>170.4</v>
      </c>
      <c r="N30" s="422">
        <v>160.65</v>
      </c>
      <c r="O30" s="422">
        <v>150.91</v>
      </c>
    </row>
    <row r="31" spans="1:15" ht="31.5">
      <c r="A31" s="415">
        <v>22</v>
      </c>
      <c r="B31" s="416" t="s">
        <v>553</v>
      </c>
      <c r="C31" s="423">
        <v>233.46</v>
      </c>
      <c r="D31" s="423">
        <v>235.55</v>
      </c>
      <c r="E31" s="423">
        <v>237.82</v>
      </c>
      <c r="F31" s="422">
        <v>240.69</v>
      </c>
      <c r="G31" s="422">
        <v>242.88</v>
      </c>
      <c r="H31" s="423">
        <v>276.79000000000002</v>
      </c>
      <c r="I31" s="423">
        <v>280.08</v>
      </c>
      <c r="J31" s="423">
        <v>283.87</v>
      </c>
      <c r="K31" s="423">
        <v>287.01</v>
      </c>
      <c r="L31" s="423">
        <v>291.31</v>
      </c>
      <c r="M31" s="422">
        <v>408.59</v>
      </c>
      <c r="N31" s="422">
        <v>414.94</v>
      </c>
      <c r="O31" s="422">
        <v>419.95</v>
      </c>
    </row>
    <row r="32" spans="1:15" ht="31.5">
      <c r="A32" s="415">
        <v>23</v>
      </c>
      <c r="B32" s="416" t="s">
        <v>554</v>
      </c>
      <c r="C32" s="422">
        <v>1184.17</v>
      </c>
      <c r="D32" s="422">
        <v>1185.78</v>
      </c>
      <c r="E32" s="422">
        <v>1189.49</v>
      </c>
      <c r="F32" s="422">
        <v>1195.3399999999999</v>
      </c>
      <c r="G32" s="422">
        <v>1197.72</v>
      </c>
      <c r="H32" s="422">
        <v>1212.6401000000001</v>
      </c>
      <c r="I32" s="422">
        <v>1211.2637999999999</v>
      </c>
      <c r="J32" s="422">
        <v>1207.1519000000001</v>
      </c>
      <c r="K32" s="422">
        <v>1197.1419000000001</v>
      </c>
      <c r="L32" s="422">
        <v>1190.9467999999999</v>
      </c>
      <c r="M32" s="422">
        <v>1187.79</v>
      </c>
      <c r="N32" s="422">
        <v>1187.79</v>
      </c>
      <c r="O32" s="422">
        <v>1187.79</v>
      </c>
    </row>
    <row r="33" spans="1:15" ht="31.5">
      <c r="A33" s="415">
        <v>24</v>
      </c>
      <c r="B33" s="416" t="s">
        <v>555</v>
      </c>
      <c r="C33" s="422">
        <v>164.13</v>
      </c>
      <c r="D33" s="422">
        <v>166.73</v>
      </c>
      <c r="E33" s="422">
        <v>169.85</v>
      </c>
      <c r="F33" s="422">
        <v>173.09</v>
      </c>
      <c r="G33" s="422">
        <v>177.42</v>
      </c>
      <c r="H33" s="422">
        <v>283.89</v>
      </c>
      <c r="I33" s="422">
        <v>288.8</v>
      </c>
      <c r="J33" s="422">
        <v>292.77999999999997</v>
      </c>
      <c r="K33" s="422">
        <v>297.94</v>
      </c>
      <c r="L33" s="422">
        <v>306.17</v>
      </c>
      <c r="M33" s="422">
        <v>306.66000000000003</v>
      </c>
      <c r="N33" s="422">
        <v>319.41000000000003</v>
      </c>
      <c r="O33" s="422">
        <v>331.61</v>
      </c>
    </row>
    <row r="34" spans="1:15" ht="31.5">
      <c r="A34" s="422"/>
      <c r="B34" s="416" t="s">
        <v>556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</row>
    <row r="35" spans="1:15">
      <c r="A35" s="416"/>
      <c r="B35" s="416" t="s">
        <v>557</v>
      </c>
      <c r="C35" s="422">
        <v>40.950000000000003</v>
      </c>
      <c r="D35" s="422">
        <v>39.65</v>
      </c>
      <c r="E35" s="422">
        <v>38.61</v>
      </c>
      <c r="F35" s="422">
        <v>37.46</v>
      </c>
      <c r="G35" s="422">
        <v>36.89</v>
      </c>
      <c r="H35" s="422">
        <v>60.34</v>
      </c>
      <c r="I35" s="422">
        <v>55.9</v>
      </c>
      <c r="J35" s="422">
        <v>50.79</v>
      </c>
      <c r="K35" s="422">
        <v>46.14</v>
      </c>
      <c r="L35" s="422">
        <v>43.11</v>
      </c>
      <c r="M35" s="422">
        <v>33.42</v>
      </c>
      <c r="N35" s="422">
        <v>31.66</v>
      </c>
      <c r="O35" s="422">
        <v>29.74</v>
      </c>
    </row>
    <row r="36" spans="1:15">
      <c r="A36" s="416"/>
      <c r="B36" s="416" t="s">
        <v>558</v>
      </c>
      <c r="C36" s="422">
        <v>14</v>
      </c>
      <c r="D36" s="422">
        <v>14</v>
      </c>
      <c r="E36" s="422">
        <v>14</v>
      </c>
      <c r="F36" s="422">
        <v>14</v>
      </c>
      <c r="G36" s="422">
        <v>14</v>
      </c>
      <c r="H36" s="422">
        <v>23.481000000000002</v>
      </c>
      <c r="I36" s="422">
        <v>23.21</v>
      </c>
      <c r="J36" s="422">
        <v>22.943999999999999</v>
      </c>
      <c r="K36" s="422">
        <v>22.943999999999999</v>
      </c>
      <c r="L36" s="422">
        <v>23.481000000000002</v>
      </c>
      <c r="M36" s="422">
        <v>19.61</v>
      </c>
      <c r="N36" s="422">
        <v>19.704999999999998</v>
      </c>
      <c r="O36" s="422">
        <v>19.704999999999998</v>
      </c>
    </row>
    <row r="37" spans="1:15">
      <c r="A37" s="416"/>
      <c r="B37" s="416" t="s">
        <v>559</v>
      </c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</row>
    <row r="38" spans="1:15">
      <c r="A38" s="416"/>
      <c r="B38" s="416" t="s">
        <v>557</v>
      </c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</row>
    <row r="39" spans="1:15">
      <c r="A39" s="416"/>
      <c r="B39" s="416" t="s">
        <v>560</v>
      </c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</row>
    <row r="40" spans="1:15" ht="28.5" customHeight="1">
      <c r="A40" s="416"/>
      <c r="B40" s="416" t="s">
        <v>561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</row>
    <row r="41" spans="1:15">
      <c r="A41" s="416"/>
      <c r="B41" s="416" t="s">
        <v>557</v>
      </c>
      <c r="C41" s="422">
        <v>11.89</v>
      </c>
      <c r="D41" s="422">
        <v>12.05</v>
      </c>
      <c r="E41" s="422">
        <v>12.37</v>
      </c>
      <c r="F41" s="422">
        <v>12.68</v>
      </c>
      <c r="G41" s="422">
        <v>13.41</v>
      </c>
      <c r="H41" s="422">
        <v>14.05</v>
      </c>
      <c r="I41" s="422">
        <v>13.83</v>
      </c>
      <c r="J41" s="422">
        <v>13.16</v>
      </c>
      <c r="K41" s="422">
        <v>12.19</v>
      </c>
      <c r="L41" s="422">
        <v>11.33</v>
      </c>
      <c r="M41" s="422">
        <v>9.75</v>
      </c>
      <c r="N41" s="422">
        <v>9.75</v>
      </c>
      <c r="O41" s="422">
        <v>9.75</v>
      </c>
    </row>
    <row r="42" spans="1:15">
      <c r="A42" s="416"/>
      <c r="B42" s="416" t="s">
        <v>558</v>
      </c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</row>
    <row r="43" spans="1:15">
      <c r="A43" s="416"/>
      <c r="B43" s="416" t="s">
        <v>562</v>
      </c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</row>
    <row r="44" spans="1:15">
      <c r="A44" s="416"/>
      <c r="B44" s="416" t="s">
        <v>557</v>
      </c>
      <c r="C44" s="422">
        <v>23.93</v>
      </c>
      <c r="D44" s="422">
        <v>24.14</v>
      </c>
      <c r="E44" s="422">
        <v>24.38</v>
      </c>
      <c r="F44" s="422">
        <v>24.67</v>
      </c>
      <c r="G44" s="422">
        <v>24.9</v>
      </c>
      <c r="H44" s="422">
        <v>33.909999999999997</v>
      </c>
      <c r="I44" s="422">
        <v>34.31</v>
      </c>
      <c r="J44" s="422">
        <v>34.770000000000003</v>
      </c>
      <c r="K44" s="422">
        <v>35.159999999999997</v>
      </c>
      <c r="L44" s="422">
        <v>35.69</v>
      </c>
      <c r="M44" s="422">
        <v>55.16</v>
      </c>
      <c r="N44" s="422">
        <v>56.02</v>
      </c>
      <c r="O44" s="422">
        <v>56.69</v>
      </c>
    </row>
    <row r="45" spans="1:15">
      <c r="A45" s="416"/>
      <c r="B45" s="416" t="s">
        <v>558</v>
      </c>
      <c r="C45" s="422">
        <v>10.25</v>
      </c>
      <c r="D45" s="422">
        <v>10.25</v>
      </c>
      <c r="E45" s="422">
        <v>10.25</v>
      </c>
      <c r="F45" s="422">
        <v>10.25</v>
      </c>
      <c r="G45" s="422">
        <v>10.25</v>
      </c>
      <c r="H45" s="422">
        <v>12.25</v>
      </c>
      <c r="I45" s="422">
        <v>12.25</v>
      </c>
      <c r="J45" s="422">
        <v>12.25</v>
      </c>
      <c r="K45" s="422">
        <v>12.25</v>
      </c>
      <c r="L45" s="422">
        <v>12.25</v>
      </c>
      <c r="M45" s="422">
        <v>13.5</v>
      </c>
      <c r="N45" s="422">
        <v>13.5</v>
      </c>
      <c r="O45" s="422">
        <v>13.5</v>
      </c>
    </row>
    <row r="46" spans="1:15" ht="31.5">
      <c r="A46" s="416"/>
      <c r="B46" s="416" t="s">
        <v>563</v>
      </c>
      <c r="C46" s="422"/>
      <c r="D46" s="422"/>
      <c r="E46" s="422"/>
      <c r="F46" s="422"/>
      <c r="G46" s="422"/>
      <c r="H46" s="422"/>
      <c r="I46" s="422"/>
      <c r="J46" s="422"/>
      <c r="K46" s="422"/>
      <c r="L46" s="422"/>
      <c r="M46" s="422"/>
      <c r="N46" s="422"/>
      <c r="O46" s="422"/>
    </row>
    <row r="47" spans="1:15">
      <c r="A47" s="416"/>
      <c r="B47" s="416" t="s">
        <v>557</v>
      </c>
      <c r="C47" s="422">
        <v>87.36</v>
      </c>
      <c r="D47" s="422">
        <v>90.89</v>
      </c>
      <c r="E47" s="422">
        <v>94.5</v>
      </c>
      <c r="F47" s="422">
        <v>98.28</v>
      </c>
      <c r="G47" s="422">
        <v>102.23</v>
      </c>
      <c r="H47" s="422">
        <v>152.88</v>
      </c>
      <c r="I47" s="422">
        <v>161.62</v>
      </c>
      <c r="J47" s="422">
        <v>170.86</v>
      </c>
      <c r="K47" s="422">
        <v>180.68</v>
      </c>
      <c r="L47" s="422">
        <v>191.02</v>
      </c>
      <c r="M47" s="422">
        <v>200.99</v>
      </c>
      <c r="N47" s="422">
        <v>213.59</v>
      </c>
      <c r="O47" s="422">
        <v>227.03</v>
      </c>
    </row>
    <row r="48" spans="1:15">
      <c r="A48" s="416"/>
      <c r="B48" s="416" t="s">
        <v>558</v>
      </c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</row>
    <row r="49" spans="1:25">
      <c r="A49" s="416"/>
      <c r="B49" s="416" t="s">
        <v>582</v>
      </c>
      <c r="C49" s="423"/>
      <c r="D49" s="423"/>
      <c r="E49" s="423"/>
      <c r="F49" s="423"/>
      <c r="G49" s="423"/>
      <c r="H49" s="423">
        <v>2.52</v>
      </c>
      <c r="I49" s="423">
        <v>2.94</v>
      </c>
      <c r="J49" s="423">
        <v>2.94</v>
      </c>
      <c r="K49" s="423">
        <v>3.57</v>
      </c>
      <c r="L49" s="423">
        <v>4.83</v>
      </c>
      <c r="M49" s="422">
        <v>7.35</v>
      </c>
      <c r="N49" s="422">
        <v>8.4</v>
      </c>
      <c r="O49" s="422">
        <v>8.4</v>
      </c>
    </row>
    <row r="50" spans="1:25">
      <c r="A50" s="429">
        <v>25</v>
      </c>
      <c r="B50" s="416" t="s">
        <v>565</v>
      </c>
      <c r="C50" s="422">
        <v>0.33</v>
      </c>
      <c r="D50" s="422">
        <v>0.33600000000000002</v>
      </c>
      <c r="E50" s="422">
        <v>0.34200000000000003</v>
      </c>
      <c r="F50" s="422">
        <v>0.34799999999999998</v>
      </c>
      <c r="G50" s="422">
        <v>0.35699999999999998</v>
      </c>
      <c r="H50" s="422">
        <v>0.57199999999999995</v>
      </c>
      <c r="I50" s="422">
        <v>0.58099999999999996</v>
      </c>
      <c r="J50" s="422">
        <v>0.58799999999999997</v>
      </c>
      <c r="K50" s="422">
        <v>0.6</v>
      </c>
      <c r="L50" s="422">
        <v>0.61599999999999999</v>
      </c>
      <c r="M50" s="422">
        <v>0.61699999999999999</v>
      </c>
      <c r="N50" s="422">
        <v>0.64100000000000001</v>
      </c>
      <c r="O50" s="422">
        <v>0.66800000000000004</v>
      </c>
    </row>
    <row r="51" spans="1:25">
      <c r="A51" s="429">
        <v>26</v>
      </c>
      <c r="B51" s="416" t="s">
        <v>566</v>
      </c>
      <c r="C51" s="422">
        <v>1.7599999999999998</v>
      </c>
      <c r="D51" s="422">
        <v>1.264</v>
      </c>
      <c r="E51" s="422">
        <v>1.198</v>
      </c>
      <c r="F51" s="422">
        <v>1.4001999999999999</v>
      </c>
      <c r="G51" s="422">
        <v>1.458</v>
      </c>
      <c r="H51" s="422">
        <v>1.7542999999999997</v>
      </c>
      <c r="I51" s="422">
        <v>1.8140999999999998</v>
      </c>
      <c r="J51" s="422">
        <v>1.9619999999999997</v>
      </c>
      <c r="K51" s="422">
        <v>2.09</v>
      </c>
      <c r="L51" s="422">
        <v>2.234</v>
      </c>
      <c r="M51" s="422">
        <v>2.4129999999999998</v>
      </c>
      <c r="N51" s="422">
        <v>2.899</v>
      </c>
      <c r="O51" s="422">
        <v>3.1749999999999998</v>
      </c>
    </row>
    <row r="52" spans="1:25">
      <c r="A52" s="429">
        <v>27</v>
      </c>
      <c r="B52" s="416" t="s">
        <v>567</v>
      </c>
      <c r="C52" s="422">
        <f>C50+C51</f>
        <v>2.09</v>
      </c>
      <c r="D52" s="422">
        <f t="shared" ref="D52:O52" si="0">D50+D51</f>
        <v>1.6</v>
      </c>
      <c r="E52" s="422">
        <f t="shared" si="0"/>
        <v>1.54</v>
      </c>
      <c r="F52" s="422">
        <f t="shared" si="0"/>
        <v>1.7481999999999998</v>
      </c>
      <c r="G52" s="422">
        <f t="shared" si="0"/>
        <v>1.8149999999999999</v>
      </c>
      <c r="H52" s="422">
        <f t="shared" si="0"/>
        <v>2.3262999999999998</v>
      </c>
      <c r="I52" s="422">
        <f t="shared" si="0"/>
        <v>2.3950999999999998</v>
      </c>
      <c r="J52" s="422">
        <f t="shared" si="0"/>
        <v>2.5499999999999998</v>
      </c>
      <c r="K52" s="422">
        <f t="shared" si="0"/>
        <v>2.69</v>
      </c>
      <c r="L52" s="422">
        <f t="shared" si="0"/>
        <v>2.85</v>
      </c>
      <c r="M52" s="422">
        <f t="shared" si="0"/>
        <v>3.03</v>
      </c>
      <c r="N52" s="422">
        <f t="shared" si="0"/>
        <v>3.54</v>
      </c>
      <c r="O52" s="422">
        <f t="shared" si="0"/>
        <v>3.843</v>
      </c>
    </row>
    <row r="53" spans="1:25" ht="31.5">
      <c r="A53" s="429">
        <v>28</v>
      </c>
      <c r="B53" s="416" t="s">
        <v>568</v>
      </c>
      <c r="C53" s="422">
        <v>937.34994570000015</v>
      </c>
      <c r="D53" s="422">
        <v>315.40280000000001</v>
      </c>
      <c r="E53" s="422">
        <v>233.47909999999999</v>
      </c>
      <c r="F53" s="422">
        <v>79.066502017539634</v>
      </c>
      <c r="G53" s="422">
        <v>968.1072674729113</v>
      </c>
      <c r="H53" s="422">
        <v>1248.4074965473339</v>
      </c>
      <c r="I53" s="422">
        <v>1155.8541837791338</v>
      </c>
      <c r="J53" s="422">
        <v>1358.8251243413656</v>
      </c>
      <c r="K53" s="422">
        <v>1525.5446233625137</v>
      </c>
      <c r="L53" s="422">
        <v>1592.2337185686404</v>
      </c>
      <c r="M53" s="422">
        <v>1625.5168644828277</v>
      </c>
      <c r="N53" s="422">
        <v>1763.533895994422</v>
      </c>
      <c r="O53" s="422">
        <v>2134.7179563148502</v>
      </c>
    </row>
    <row r="54" spans="1:25" ht="31.5">
      <c r="A54" s="429">
        <v>29</v>
      </c>
      <c r="B54" s="416" t="s">
        <v>569</v>
      </c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</row>
    <row r="55" spans="1:25">
      <c r="A55" s="429">
        <v>30</v>
      </c>
      <c r="B55" s="416" t="s">
        <v>570</v>
      </c>
      <c r="C55" s="422">
        <v>198.17142857142858</v>
      </c>
      <c r="D55" s="422">
        <v>2.0303550057142856</v>
      </c>
      <c r="E55" s="422">
        <v>-373.02147276571429</v>
      </c>
      <c r="F55" s="422">
        <v>41.498951406285713</v>
      </c>
      <c r="G55" s="422">
        <v>-63.709399382285717</v>
      </c>
      <c r="H55" s="422">
        <v>46.103309675428576</v>
      </c>
      <c r="I55" s="422">
        <v>109.7571935377143</v>
      </c>
      <c r="J55" s="422">
        <v>128.89345245257144</v>
      </c>
      <c r="K55" s="422">
        <v>127.84363937942855</v>
      </c>
      <c r="L55" s="422">
        <v>170.16556362</v>
      </c>
      <c r="M55" s="422">
        <v>129.73042136514286</v>
      </c>
      <c r="N55" s="422">
        <v>125.90655913828571</v>
      </c>
      <c r="O55" s="422">
        <v>146.27524153771427</v>
      </c>
    </row>
    <row r="56" spans="1:25">
      <c r="A56" s="429">
        <v>31</v>
      </c>
      <c r="B56" s="416" t="s">
        <v>571</v>
      </c>
      <c r="C56" s="418">
        <v>113.54833000000001</v>
      </c>
      <c r="D56" s="418">
        <v>118.87909000000001</v>
      </c>
      <c r="E56" s="418">
        <v>30.141231732999998</v>
      </c>
      <c r="F56" s="418">
        <v>81.751426069000004</v>
      </c>
      <c r="G56" s="418">
        <v>39.784718129999995</v>
      </c>
      <c r="H56" s="418">
        <v>54.425946283933392</v>
      </c>
      <c r="I56" s="418">
        <v>55.585872667000004</v>
      </c>
      <c r="J56" s="418">
        <v>48.021809751999996</v>
      </c>
      <c r="K56" s="418">
        <v>62.989729767999997</v>
      </c>
      <c r="L56" s="418">
        <v>15.482511171000008</v>
      </c>
      <c r="M56" s="418">
        <v>-3.2978283760000009</v>
      </c>
      <c r="N56" s="418">
        <v>-2.7721325919999975</v>
      </c>
      <c r="O56" s="418">
        <v>131.87951702300001</v>
      </c>
    </row>
    <row r="57" spans="1:25">
      <c r="A57" s="429">
        <v>32</v>
      </c>
      <c r="B57" s="416" t="s">
        <v>572</v>
      </c>
      <c r="C57" s="417">
        <v>225.36682045433869</v>
      </c>
      <c r="D57" s="417">
        <v>202.7956406741726</v>
      </c>
      <c r="E57" s="417">
        <v>501.73445245911307</v>
      </c>
      <c r="F57" s="417">
        <v>312.09693490197117</v>
      </c>
      <c r="G57" s="417">
        <v>296.78613686335046</v>
      </c>
      <c r="H57" s="417">
        <v>379.62124557674844</v>
      </c>
      <c r="I57" s="417">
        <v>348.48235275599654</v>
      </c>
      <c r="J57" s="417">
        <v>355.73638642801313</v>
      </c>
      <c r="K57" s="417">
        <v>349.87481830198288</v>
      </c>
      <c r="L57" s="417">
        <v>937.94917663180627</v>
      </c>
      <c r="M57" s="417">
        <v>-1414.11792152051</v>
      </c>
      <c r="N57" s="417">
        <v>-739.78492440018249</v>
      </c>
      <c r="O57" s="417">
        <v>167.23699999999999</v>
      </c>
    </row>
    <row r="58" spans="1:25">
      <c r="A58" s="429">
        <v>33</v>
      </c>
      <c r="B58" s="416" t="s">
        <v>573</v>
      </c>
      <c r="C58" s="418">
        <v>25.590026099999999</v>
      </c>
      <c r="D58" s="418">
        <v>24.108161219312628</v>
      </c>
      <c r="E58" s="418">
        <v>15.1228944</v>
      </c>
      <c r="F58" s="418">
        <v>25.514369500000001</v>
      </c>
      <c r="G58" s="418">
        <v>11.8075528</v>
      </c>
      <c r="H58" s="418">
        <v>20.661245519999998</v>
      </c>
      <c r="I58" s="418">
        <v>19.370695686991404</v>
      </c>
      <c r="J58" s="418">
        <v>17.083105070910001</v>
      </c>
      <c r="K58" s="418">
        <v>22.038520257470001</v>
      </c>
      <c r="L58" s="424">
        <v>14.519119699999999</v>
      </c>
      <c r="M58" s="418">
        <v>4.6635182086004798</v>
      </c>
      <c r="N58" s="418">
        <v>2.0507819</v>
      </c>
      <c r="O58" s="418">
        <v>22.055149100000005</v>
      </c>
    </row>
    <row r="59" spans="1:25" ht="13.5" customHeight="1">
      <c r="A59" s="408" t="s">
        <v>574</v>
      </c>
    </row>
    <row r="60" spans="1:25" ht="13.5" customHeight="1">
      <c r="A60" s="408" t="s">
        <v>575</v>
      </c>
    </row>
    <row r="61" spans="1:25" ht="13.5" customHeight="1">
      <c r="A61" s="408" t="s">
        <v>576</v>
      </c>
    </row>
    <row r="62" spans="1:25" ht="13.5" customHeight="1">
      <c r="A62" s="408" t="s">
        <v>577</v>
      </c>
    </row>
    <row r="63" spans="1:25">
      <c r="C63" s="419"/>
      <c r="D63" s="419"/>
      <c r="E63" s="419"/>
      <c r="F63" s="425"/>
      <c r="G63" s="425"/>
      <c r="H63" s="425"/>
      <c r="I63" s="425"/>
      <c r="J63" s="425"/>
      <c r="K63" s="425"/>
      <c r="L63" s="425"/>
      <c r="M63" s="426"/>
      <c r="N63" s="426"/>
      <c r="O63" s="426"/>
      <c r="P63" s="426"/>
      <c r="Q63" s="426"/>
      <c r="S63" s="426"/>
      <c r="U63" s="426"/>
      <c r="W63" s="426"/>
      <c r="X63" s="426"/>
      <c r="Y63" s="426"/>
    </row>
    <row r="65" spans="3:5">
      <c r="C65" s="419"/>
      <c r="D65" s="419"/>
      <c r="E65" s="419"/>
    </row>
    <row r="66" spans="3:5">
      <c r="C66" s="419"/>
      <c r="D66" s="419"/>
      <c r="E66" s="419"/>
    </row>
    <row r="67" spans="3:5">
      <c r="C67" s="419"/>
      <c r="D67" s="419"/>
      <c r="E67" s="419"/>
    </row>
    <row r="68" spans="3:5">
      <c r="C68" s="419"/>
      <c r="D68" s="419"/>
      <c r="E68" s="419"/>
    </row>
    <row r="69" spans="3:5">
      <c r="C69" s="419"/>
      <c r="D69" s="419"/>
      <c r="E69" s="419"/>
    </row>
    <row r="70" spans="3:5">
      <c r="C70" s="419"/>
      <c r="D70" s="419"/>
      <c r="E70" s="419"/>
    </row>
    <row r="71" spans="3:5">
      <c r="C71" s="419"/>
      <c r="D71" s="419"/>
      <c r="E71" s="419"/>
    </row>
    <row r="72" spans="3:5">
      <c r="C72" s="419"/>
      <c r="D72" s="419"/>
      <c r="E72" s="419"/>
    </row>
    <row r="73" spans="3:5">
      <c r="C73" s="419"/>
      <c r="D73" s="419"/>
      <c r="E73" s="419"/>
    </row>
    <row r="74" spans="3:5">
      <c r="C74" s="419"/>
      <c r="D74" s="419"/>
      <c r="E74" s="419"/>
    </row>
    <row r="75" spans="3:5">
      <c r="C75" s="419"/>
      <c r="D75" s="419"/>
      <c r="E75" s="419"/>
    </row>
    <row r="76" spans="3:5">
      <c r="C76" s="419"/>
      <c r="D76" s="419"/>
      <c r="E76" s="419"/>
    </row>
    <row r="77" spans="3:5">
      <c r="C77" s="419"/>
      <c r="D77" s="419"/>
      <c r="E77" s="419"/>
    </row>
  </sheetData>
  <mergeCells count="7">
    <mergeCell ref="A8:O8"/>
    <mergeCell ref="A2:O2"/>
    <mergeCell ref="A3:O3"/>
    <mergeCell ref="A4:O4"/>
    <mergeCell ref="A5:O5"/>
    <mergeCell ref="A6:O6"/>
    <mergeCell ref="A7:O7"/>
  </mergeCells>
  <printOptions horizontalCentered="1"/>
  <pageMargins left="0.19685039370078741" right="0.19685039370078741" top="0.27559055118110237" bottom="0.19685039370078741" header="0.15748031496062992" footer="0.23622047244094491"/>
  <pageSetup paperSize="9" scale="83" fitToWidth="2" orientation="landscape" r:id="rId1"/>
  <rowBreaks count="1" manualBreakCount="1">
    <brk id="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TPS II Stage I ANNEXURE Sh 1&amp;2</vt:lpstr>
      <vt:lpstr>TPS II Stage I ANNEXURE sh 3</vt:lpstr>
      <vt:lpstr>TPS II Stage I ANNEXURE I Sh 4</vt:lpstr>
      <vt:lpstr>TSII STAGE II ANNEXURE I SH I</vt:lpstr>
      <vt:lpstr>TS II STAGE II ANNEXURE I SH 2</vt:lpstr>
      <vt:lpstr>TSII STAGE II ANNEXURE I SH 3</vt:lpstr>
      <vt:lpstr>ANNEXURE IV STAGE I</vt:lpstr>
      <vt:lpstr>ANNEXURE IV STAGE II</vt:lpstr>
      <vt:lpstr>ANNEXURE VC</vt:lpstr>
      <vt:lpstr>ANNEXURE VIA</vt:lpstr>
      <vt:lpstr>STAFF WELFARE EXPENSES</vt:lpstr>
      <vt:lpstr>ANNEXURE VI C STAGE I</vt:lpstr>
      <vt:lpstr>ANNEXURE VI C STAGE II</vt:lpstr>
      <vt:lpstr>ANNEXURE VI D STAGE I</vt:lpstr>
      <vt:lpstr>ANNEXURE VI D STAGE II</vt:lpstr>
      <vt:lpstr>Annexure XIX(Stg1)</vt:lpstr>
      <vt:lpstr>Annexure XIX (Stg2)</vt:lpstr>
      <vt:lpstr>'Annexure XIX (Stg2)'!Print_Area</vt:lpstr>
      <vt:lpstr>'Annexure XIX(Stg1)'!Print_Area</vt:lpstr>
      <vt:lpstr>'TPS II Stage I ANNEXURE I Sh 4'!Print_Area</vt:lpstr>
      <vt:lpstr>'TPS II Stage I ANNEXURE Sh 1&amp;2'!Print_Area</vt:lpstr>
      <vt:lpstr>'TPS II Stage I ANNEXURE sh 3'!Print_Area</vt:lpstr>
      <vt:lpstr>'Annexure XIX (Stg2)'!Print_Titles</vt:lpstr>
      <vt:lpstr>'Annexure XIX(Stg1)'!Print_Titles</vt:lpstr>
      <vt:lpstr>'TPS II Stage I ANNEXURE sh 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Staunch</cp:lastModifiedBy>
  <cp:lastPrinted>2017-12-28T07:06:13Z</cp:lastPrinted>
  <dcterms:created xsi:type="dcterms:W3CDTF">2017-11-14T14:50:00Z</dcterms:created>
  <dcterms:modified xsi:type="dcterms:W3CDTF">2017-12-28T13:39:36Z</dcterms:modified>
</cp:coreProperties>
</file>